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45" windowHeight="10575" activeTab="0"/>
  </bookViews>
  <sheets>
    <sheet name="Ventes" sheetId="1" r:id="rId1"/>
    <sheet name="MoyennesMobiles" sheetId="2" r:id="rId2"/>
    <sheet name="Holt" sheetId="3" r:id="rId3"/>
    <sheet name="HoltWinterMultiplicatif" sheetId="4" r:id="rId4"/>
  </sheets>
  <definedNames>
    <definedName name="solver_adj" localSheetId="2" hidden="1">'Holt'!$D$3:$D$4</definedName>
    <definedName name="solver_adj" localSheetId="3" hidden="1">'HoltWinterMultiplicatif'!$D$3:$D$5</definedName>
    <definedName name="solver_cvg" localSheetId="2" hidden="1">0.0001</definedName>
    <definedName name="solver_cvg" localSheetId="3" hidden="1">0.0001</definedName>
    <definedName name="solver_drv" localSheetId="2" hidden="1">1</definedName>
    <definedName name="solver_drv" localSheetId="3" hidden="1">1</definedName>
    <definedName name="solver_eng" localSheetId="2" hidden="1">1</definedName>
    <definedName name="solver_eng" localSheetId="3" hidden="1">1</definedName>
    <definedName name="solver_est" localSheetId="2" hidden="1">1</definedName>
    <definedName name="solver_est" localSheetId="3" hidden="1">1</definedName>
    <definedName name="solver_ibd" localSheetId="2" hidden="1">2</definedName>
    <definedName name="solver_ibd" localSheetId="3" hidden="1">2</definedName>
    <definedName name="solver_itr" localSheetId="2" hidden="1">100</definedName>
    <definedName name="solver_itr" localSheetId="3" hidden="1">100</definedName>
    <definedName name="solver_lhs1" localSheetId="2" hidden="1">'Holt'!$D$3:$D$4</definedName>
    <definedName name="solver_lhs1" localSheetId="3" hidden="1">'HoltWinterMultiplicatif'!$D$3:$D$5</definedName>
    <definedName name="solver_lhs2" localSheetId="2" hidden="1">'Holt'!$D$3:$D$4</definedName>
    <definedName name="solver_lhs2" localSheetId="3" hidden="1">'HoltWinterMultiplicatif'!$D$3:$D$5</definedName>
    <definedName name="solver_lin" localSheetId="2" hidden="1">2</definedName>
    <definedName name="solver_lin" localSheetId="3" hidden="1">2</definedName>
    <definedName name="solver_loc" localSheetId="2" hidden="1">1</definedName>
    <definedName name="solver_loc" localSheetId="3" hidden="1">1</definedName>
    <definedName name="solver_lva" localSheetId="2" hidden="1">2</definedName>
    <definedName name="solver_lva" localSheetId="3" hidden="1">2</definedName>
    <definedName name="solver_mip" localSheetId="2" hidden="1">5000</definedName>
    <definedName name="solver_mip" localSheetId="3" hidden="1">5000</definedName>
    <definedName name="solver_mni" localSheetId="2" hidden="1">30</definedName>
    <definedName name="solver_mni" localSheetId="3" hidden="1">30</definedName>
    <definedName name="solver_mrt" localSheetId="2" hidden="1">0.075</definedName>
    <definedName name="solver_mrt" localSheetId="3" hidden="1">0.075</definedName>
    <definedName name="solver_neg" localSheetId="2" hidden="1">2</definedName>
    <definedName name="solver_neg" localSheetId="3" hidden="1">2</definedName>
    <definedName name="solver_nod" localSheetId="2" hidden="1">5000</definedName>
    <definedName name="solver_nod" localSheetId="3" hidden="1">5000</definedName>
    <definedName name="solver_num" localSheetId="2" hidden="1">2</definedName>
    <definedName name="solver_num" localSheetId="3" hidden="1">2</definedName>
    <definedName name="solver_nwt" localSheetId="2" hidden="1">1</definedName>
    <definedName name="solver_nwt" localSheetId="3" hidden="1">1</definedName>
    <definedName name="solver_ofx" localSheetId="2" hidden="1">2</definedName>
    <definedName name="solver_ofx" localSheetId="3" hidden="1">2</definedName>
    <definedName name="solver_opt" localSheetId="2" hidden="1">'Holt'!$I$4</definedName>
    <definedName name="solver_opt" localSheetId="3" hidden="1">'HoltWinterMultiplicatif'!$J$4</definedName>
    <definedName name="solver_piv" localSheetId="2" hidden="1">0.000001</definedName>
    <definedName name="solver_piv" localSheetId="3" hidden="1">0.000001</definedName>
    <definedName name="solver_pre" localSheetId="2" hidden="1">0.000001</definedName>
    <definedName name="solver_pre" localSheetId="3" hidden="1">0.000001</definedName>
    <definedName name="solver_pro" localSheetId="2" hidden="1">2</definedName>
    <definedName name="solver_pro" localSheetId="3" hidden="1">2</definedName>
    <definedName name="solver_rbv" localSheetId="2" hidden="1">1</definedName>
    <definedName name="solver_rbv" localSheetId="3" hidden="1">1</definedName>
    <definedName name="solver_red" localSheetId="2" hidden="1">0.000001</definedName>
    <definedName name="solver_red" localSheetId="3" hidden="1">0.000001</definedName>
    <definedName name="solver_rel1" localSheetId="2" hidden="1">1</definedName>
    <definedName name="solver_rel1" localSheetId="3" hidden="1">1</definedName>
    <definedName name="solver_rel2" localSheetId="2" hidden="1">3</definedName>
    <definedName name="solver_rel2" localSheetId="3" hidden="1">3</definedName>
    <definedName name="solver_reo" localSheetId="2" hidden="1">2</definedName>
    <definedName name="solver_reo" localSheetId="3" hidden="1">2</definedName>
    <definedName name="solver_rep" localSheetId="2" hidden="1">2</definedName>
    <definedName name="solver_rep" localSheetId="3" hidden="1">2</definedName>
    <definedName name="solver_rhs1" localSheetId="2" hidden="1">1</definedName>
    <definedName name="solver_rhs1" localSheetId="3" hidden="1">1</definedName>
    <definedName name="solver_rhs2" localSheetId="2" hidden="1">0</definedName>
    <definedName name="solver_rhs2" localSheetId="3" hidden="1">0</definedName>
    <definedName name="solver_rlx" localSheetId="2" hidden="1">2</definedName>
    <definedName name="solver_rlx" localSheetId="3" hidden="1">2</definedName>
    <definedName name="solver_scl" localSheetId="2" hidden="1">2</definedName>
    <definedName name="solver_scl" localSheetId="3" hidden="1">2</definedName>
    <definedName name="solver_sho" localSheetId="2" hidden="1">2</definedName>
    <definedName name="solver_sho" localSheetId="3" hidden="1">2</definedName>
    <definedName name="solver_ssz" localSheetId="2" hidden="1">100</definedName>
    <definedName name="solver_ssz" localSheetId="3" hidden="1">100</definedName>
    <definedName name="solver_std" localSheetId="2" hidden="1">1</definedName>
    <definedName name="solver_std" localSheetId="3" hidden="1">1</definedName>
    <definedName name="solver_tim" localSheetId="2" hidden="1">100</definedName>
    <definedName name="solver_tim" localSheetId="3" hidden="1">100</definedName>
    <definedName name="solver_tol" localSheetId="2" hidden="1">0.0005</definedName>
    <definedName name="solver_tol" localSheetId="3" hidden="1">0.0005</definedName>
    <definedName name="solver_typ" localSheetId="2" hidden="1">2</definedName>
    <definedName name="solver_typ" localSheetId="3" hidden="1">2</definedName>
    <definedName name="solver_val" localSheetId="2" hidden="1">0</definedName>
    <definedName name="solver_val" localSheetId="3" hidden="1">0</definedName>
    <definedName name="solver_ver" localSheetId="2" hidden="1">2</definedName>
    <definedName name="solver_ver" localSheetId="3" hidden="1">2</definedName>
    <definedName name="_xlnm.Print_Area" localSheetId="2">'Holt'!$A$1:$I$37</definedName>
    <definedName name="_xlnm.Print_Area" localSheetId="3">'HoltWinterMultiplicatif'!$A$1:$J$33</definedName>
    <definedName name="_xlnm.Print_Area" localSheetId="1">'MoyennesMobiles'!$B$3:$K$45</definedName>
    <definedName name="_xlnm.Print_Area" localSheetId="0">'Ventes'!$A$1:$J$16</definedName>
  </definedNames>
  <calcPr fullCalcOnLoad="1"/>
</workbook>
</file>

<file path=xl/sharedStrings.xml><?xml version="1.0" encoding="utf-8"?>
<sst xmlns="http://schemas.openxmlformats.org/spreadsheetml/2006/main" count="62" uniqueCount="40">
  <si>
    <t>Mois</t>
  </si>
  <si>
    <t>Année 1</t>
  </si>
  <si>
    <t>Année 2</t>
  </si>
  <si>
    <t>Année 3</t>
  </si>
  <si>
    <t>Période</t>
  </si>
  <si>
    <t>Valeur</t>
  </si>
  <si>
    <t>Niveau</t>
  </si>
  <si>
    <t>Tendance</t>
  </si>
  <si>
    <t>Ventes</t>
  </si>
  <si>
    <t>MM centrées</t>
  </si>
  <si>
    <t>Rapports</t>
  </si>
  <si>
    <t>Différences</t>
  </si>
  <si>
    <t>Rapports moyens</t>
  </si>
  <si>
    <t>Rapports normalisés</t>
  </si>
  <si>
    <t>Différences moyennes</t>
  </si>
  <si>
    <t>Différences normalisées</t>
  </si>
  <si>
    <t>Ventes désais. (mult.)</t>
  </si>
  <si>
    <t>Ventes désais. (add.)</t>
  </si>
  <si>
    <t>Tendance (multip.)</t>
  </si>
  <si>
    <t>Tendance (add.)</t>
  </si>
  <si>
    <t>Resaisonnalisation (mult.)</t>
  </si>
  <si>
    <t>Resaisonnalisation (add.)</t>
  </si>
  <si>
    <t>Erreur absolue (mult.)</t>
  </si>
  <si>
    <t>Erreur absolue (add.)</t>
  </si>
  <si>
    <t>Erreur carrée (mult.)</t>
  </si>
  <si>
    <t>Erreur carrée (add.)</t>
  </si>
  <si>
    <t>b1</t>
  </si>
  <si>
    <t>Somme</t>
  </si>
  <si>
    <t>Moyenne</t>
  </si>
  <si>
    <t>b0</t>
  </si>
  <si>
    <t>Beta</t>
  </si>
  <si>
    <t>Alpha</t>
  </si>
  <si>
    <t>Erreur absolue</t>
  </si>
  <si>
    <t>Erreur carrée</t>
  </si>
  <si>
    <t>Trimestre</t>
  </si>
  <si>
    <t>Prévision</t>
  </si>
  <si>
    <t>MAD/ecart-type erreur</t>
  </si>
  <si>
    <t>Gamma</t>
  </si>
  <si>
    <t>Cycle</t>
  </si>
  <si>
    <t>MAD/Ecart type erreur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</si>
</sst>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0.0#"/>
    <numFmt numFmtId="175" formatCode="_(* #,##0.0000_);_(* \(#,##0.00\);_(* &quot;-&quot;??_);_(@_)"/>
    <numFmt numFmtId="176" formatCode="0.######"/>
    <numFmt numFmtId="177" formatCode="0.#######"/>
    <numFmt numFmtId="178" formatCode="0.########"/>
    <numFmt numFmtId="179" formatCode="0.#########"/>
    <numFmt numFmtId="180" formatCode="0.##########"/>
    <numFmt numFmtId="181" formatCode="_-* #,##0.000000\ _€_-;\-* #,##0.000000\ _€_-;_-* &quot;-&quot;??????\ _€_-;_-@_-"/>
  </numFmts>
  <fonts count="5">
    <font>
      <sz val="10"/>
      <color indexed="8"/>
      <name val="Sans"/>
      <family val="0"/>
    </font>
    <font>
      <i/>
      <sz val="10"/>
      <color indexed="8"/>
      <name val="Sans"/>
      <family val="0"/>
    </font>
    <font>
      <sz val="8"/>
      <name val="Sans"/>
      <family val="0"/>
    </font>
    <font>
      <vertAlign val="superscript"/>
      <sz val="10"/>
      <name val="Sans"/>
      <family val="0"/>
    </font>
    <font>
      <sz val="10"/>
      <name val="Sans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172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4" fontId="0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/>
    </xf>
    <xf numFmtId="172" fontId="0" fillId="0" borderId="6" xfId="0" applyNumberFormat="1" applyFont="1" applyFill="1" applyBorder="1" applyAlignment="1" applyProtection="1">
      <alignment/>
      <protection/>
    </xf>
    <xf numFmtId="4" fontId="0" fillId="0" borderId="7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172" fontId="0" fillId="0" borderId="8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172" fontId="0" fillId="0" borderId="4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/>
    </xf>
    <xf numFmtId="171" fontId="0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4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 wrapText="1"/>
      <protection/>
    </xf>
    <xf numFmtId="172" fontId="0" fillId="0" borderId="3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172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172" fontId="0" fillId="0" borderId="7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0" fontId="0" fillId="0" borderId="8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center" wrapText="1"/>
      <protection/>
    </xf>
    <xf numFmtId="3" fontId="0" fillId="0" borderId="9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172" fontId="0" fillId="0" borderId="2" xfId="0" applyNumberFormat="1" applyFont="1" applyFill="1" applyBorder="1" applyAlignment="1" applyProtection="1">
      <alignment/>
      <protection/>
    </xf>
    <xf numFmtId="4" fontId="0" fillId="0" borderId="15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4" fontId="0" fillId="0" borderId="6" xfId="0" applyNumberFormat="1" applyFont="1" applyFill="1" applyBorder="1" applyAlignment="1" applyProtection="1">
      <alignment/>
      <protection/>
    </xf>
    <xf numFmtId="172" fontId="0" fillId="0" borderId="9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172" fontId="0" fillId="0" borderId="1" xfId="0" applyNumberFormat="1" applyFont="1" applyFill="1" applyBorder="1" applyAlignment="1" applyProtection="1">
      <alignment/>
      <protection/>
    </xf>
    <xf numFmtId="172" fontId="0" fillId="0" borderId="6" xfId="0" applyNumberFormat="1" applyFont="1" applyFill="1" applyBorder="1" applyAlignment="1" applyProtection="1">
      <alignment/>
      <protection/>
    </xf>
    <xf numFmtId="172" fontId="0" fillId="0" borderId="12" xfId="0" applyNumberFormat="1" applyFont="1" applyFill="1" applyBorder="1" applyAlignment="1" applyProtection="1">
      <alignment/>
      <protection/>
    </xf>
    <xf numFmtId="173" fontId="0" fillId="0" borderId="1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2" fontId="0" fillId="0" borderId="6" xfId="0" applyNumberFormat="1" applyFont="1" applyFill="1" applyBorder="1" applyAlignment="1" applyProtection="1">
      <alignment/>
      <protection/>
    </xf>
    <xf numFmtId="171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171" fontId="0" fillId="0" borderId="6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8" xfId="0" applyNumberFormat="1" applyFont="1" applyFill="1" applyBorder="1" applyAlignment="1" applyProtection="1">
      <alignment horizontal="center" wrapText="1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2" fontId="0" fillId="0" borderId="1" xfId="0" applyNumberFormat="1" applyFont="1" applyFill="1" applyBorder="1" applyAlignment="1" applyProtection="1">
      <alignment/>
      <protection/>
    </xf>
    <xf numFmtId="171" fontId="0" fillId="0" borderId="4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171" fontId="0" fillId="0" borderId="1" xfId="0" applyNumberFormat="1" applyFont="1" applyFill="1" applyBorder="1" applyAlignment="1" applyProtection="1">
      <alignment/>
      <protection/>
    </xf>
    <xf numFmtId="172" fontId="0" fillId="0" borderId="2" xfId="0" applyNumberFormat="1" applyFont="1" applyFill="1" applyBorder="1" applyAlignment="1" applyProtection="1">
      <alignment/>
      <protection/>
    </xf>
    <xf numFmtId="43" fontId="0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43" fontId="0" fillId="0" borderId="1" xfId="0" applyNumberFormat="1" applyFont="1" applyFill="1" applyBorder="1" applyAlignment="1" applyProtection="1">
      <alignment/>
      <protection/>
    </xf>
    <xf numFmtId="172" fontId="0" fillId="0" borderId="4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39"/>
                <c:pt idx="0">
                  <c:v>8724.297883940906</c:v>
                </c:pt>
                <c:pt idx="1">
                  <c:v>6834.697623157485</c:v>
                </c:pt>
                <c:pt idx="2">
                  <c:v>8510.128791680945</c:v>
                </c:pt>
                <c:pt idx="3">
                  <c:v>12003.428476200617</c:v>
                </c:pt>
                <c:pt idx="4">
                  <c:v>16728.03412147841</c:v>
                </c:pt>
                <c:pt idx="5">
                  <c:v>16355.380471222275</c:v>
                </c:pt>
                <c:pt idx="6">
                  <c:v>24384.2503264702</c:v>
                </c:pt>
                <c:pt idx="7">
                  <c:v>25479.904196339663</c:v>
                </c:pt>
                <c:pt idx="8">
                  <c:v>16821.934019563647</c:v>
                </c:pt>
                <c:pt idx="9">
                  <c:v>11112.222757510457</c:v>
                </c:pt>
                <c:pt idx="10">
                  <c:v>7970.853684215976</c:v>
                </c:pt>
                <c:pt idx="11">
                  <c:v>9584.35357802131</c:v>
                </c:pt>
                <c:pt idx="12">
                  <c:v>13601.404979197265</c:v>
                </c:pt>
                <c:pt idx="13">
                  <c:v>8406.108012067007</c:v>
                </c:pt>
                <c:pt idx="14">
                  <c:v>7460.18744321863</c:v>
                </c:pt>
                <c:pt idx="15">
                  <c:v>9489.718257121514</c:v>
                </c:pt>
                <c:pt idx="16">
                  <c:v>13340.700001041274</c:v>
                </c:pt>
                <c:pt idx="17">
                  <c:v>19244.981343921183</c:v>
                </c:pt>
                <c:pt idx="18">
                  <c:v>16032.760036233696</c:v>
                </c:pt>
                <c:pt idx="19">
                  <c:v>24737.28014108006</c:v>
                </c:pt>
                <c:pt idx="20">
                  <c:v>28606.186276791635</c:v>
                </c:pt>
                <c:pt idx="21">
                  <c:v>18473.401275901095</c:v>
                </c:pt>
                <c:pt idx="22">
                  <c:v>12248.923231364806</c:v>
                </c:pt>
                <c:pt idx="23">
                  <c:v>9416.629105733615</c:v>
                </c:pt>
                <c:pt idx="24">
                  <c:v>10368.202072298307</c:v>
                </c:pt>
                <c:pt idx="25">
                  <c:v>15297.518194772805</c:v>
                </c:pt>
                <c:pt idx="26">
                  <c:v>9485.495075392262</c:v>
                </c:pt>
                <c:pt idx="27">
                  <c:v>8491.764605963626</c:v>
                </c:pt>
                <c:pt idx="28">
                  <c:v>9533.821664039951</c:v>
                </c:pt>
                <c:pt idx="29">
                  <c:v>15298.37032329524</c:v>
                </c:pt>
                <c:pt idx="30">
                  <c:v>21227.508455297222</c:v>
                </c:pt>
                <c:pt idx="31">
                  <c:v>20823.02682005431</c:v>
                </c:pt>
                <c:pt idx="32">
                  <c:v>29436.463064023243</c:v>
                </c:pt>
                <c:pt idx="33">
                  <c:v>31619.587414837217</c:v>
                </c:pt>
                <c:pt idx="34">
                  <c:v>21411.113827708465</c:v>
                </c:pt>
                <c:pt idx="35">
                  <c:v>13083.465628058928</c:v>
                </c:pt>
                <c:pt idx="36">
                  <c:v>10271.480210814794</c:v>
                </c:pt>
                <c:pt idx="37">
                  <c:v>11979.189006774452</c:v>
                </c:pt>
                <c:pt idx="38">
                  <c:v>14509.243744838395</c:v>
                </c:pt>
              </c:numCache>
            </c:numRef>
          </c:val>
          <c:smooth val="0"/>
        </c:ser>
        <c:axId val="18153325"/>
        <c:axId val="29162198"/>
      </c:lineChart>
      <c:catAx>
        <c:axId val="1815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62198"/>
        <c:crosses val="autoZero"/>
        <c:auto val="1"/>
        <c:lblOffset val="100"/>
        <c:noMultiLvlLbl val="0"/>
      </c:catAx>
      <c:valAx>
        <c:axId val="29162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53325"/>
        <c:crossesAt val="1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133191"/>
        <c:axId val="13327808"/>
      </c:lineChart>
      <c:catAx>
        <c:axId val="6113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27808"/>
        <c:crosses val="autoZero"/>
        <c:auto val="1"/>
        <c:lblOffset val="100"/>
        <c:noMultiLvlLbl val="0"/>
      </c:catAx>
      <c:valAx>
        <c:axId val="13327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133191"/>
        <c:crossesAt val="1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Ventes!$M$2</c:f>
              <c:strCache>
                <c:ptCount val="1"/>
                <c:pt idx="0">
                  <c:v>Valeur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Ventes!$M$3:$M$41</c:f>
              <c:numCache/>
            </c:numRef>
          </c:val>
          <c:smooth val="0"/>
        </c:ser>
        <c:axId val="52841409"/>
        <c:axId val="5810634"/>
      </c:lineChart>
      <c:catAx>
        <c:axId val="52841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0634"/>
        <c:crosses val="autoZero"/>
        <c:auto val="1"/>
        <c:lblOffset val="100"/>
        <c:noMultiLvlLbl val="0"/>
      </c:catAx>
      <c:valAx>
        <c:axId val="5810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841409"/>
        <c:crossesAt val="1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39"/>
                <c:pt idx="0">
                  <c:v>8724.297883940906</c:v>
                </c:pt>
                <c:pt idx="1">
                  <c:v>6834.697623157485</c:v>
                </c:pt>
                <c:pt idx="2">
                  <c:v>8510.128791680945</c:v>
                </c:pt>
                <c:pt idx="3">
                  <c:v>12003.428476200617</c:v>
                </c:pt>
                <c:pt idx="4">
                  <c:v>16728.03412147841</c:v>
                </c:pt>
                <c:pt idx="5">
                  <c:v>16355.380471222275</c:v>
                </c:pt>
                <c:pt idx="6">
                  <c:v>24384.2503264702</c:v>
                </c:pt>
                <c:pt idx="7">
                  <c:v>25479.904196339663</c:v>
                </c:pt>
                <c:pt idx="8">
                  <c:v>16821.934019563647</c:v>
                </c:pt>
                <c:pt idx="9">
                  <c:v>11112.222757510457</c:v>
                </c:pt>
                <c:pt idx="10">
                  <c:v>7970.853684215976</c:v>
                </c:pt>
                <c:pt idx="11">
                  <c:v>9584.35357802131</c:v>
                </c:pt>
                <c:pt idx="12">
                  <c:v>13601.404979197265</c:v>
                </c:pt>
                <c:pt idx="13">
                  <c:v>8406.108012067007</c:v>
                </c:pt>
                <c:pt idx="14">
                  <c:v>7460.18744321863</c:v>
                </c:pt>
                <c:pt idx="15">
                  <c:v>9489.718257121514</c:v>
                </c:pt>
                <c:pt idx="16">
                  <c:v>13340.700001041274</c:v>
                </c:pt>
                <c:pt idx="17">
                  <c:v>19244.981343921183</c:v>
                </c:pt>
                <c:pt idx="18">
                  <c:v>16032.760036233696</c:v>
                </c:pt>
                <c:pt idx="19">
                  <c:v>24737.28014108006</c:v>
                </c:pt>
                <c:pt idx="20">
                  <c:v>28606.186276791635</c:v>
                </c:pt>
                <c:pt idx="21">
                  <c:v>18473.401275901095</c:v>
                </c:pt>
                <c:pt idx="22">
                  <c:v>12248.923231364806</c:v>
                </c:pt>
                <c:pt idx="23">
                  <c:v>9416.629105733615</c:v>
                </c:pt>
                <c:pt idx="24">
                  <c:v>10368.202072298307</c:v>
                </c:pt>
                <c:pt idx="25">
                  <c:v>15297.518194772805</c:v>
                </c:pt>
                <c:pt idx="26">
                  <c:v>9485.495075392262</c:v>
                </c:pt>
                <c:pt idx="27">
                  <c:v>8491.764605963626</c:v>
                </c:pt>
                <c:pt idx="28">
                  <c:v>9533.821664039951</c:v>
                </c:pt>
                <c:pt idx="29">
                  <c:v>15298.37032329524</c:v>
                </c:pt>
                <c:pt idx="30">
                  <c:v>21227.508455297222</c:v>
                </c:pt>
                <c:pt idx="31">
                  <c:v>20823.02682005431</c:v>
                </c:pt>
                <c:pt idx="32">
                  <c:v>29436.463064023243</c:v>
                </c:pt>
                <c:pt idx="33">
                  <c:v>31619.587414837217</c:v>
                </c:pt>
                <c:pt idx="34">
                  <c:v>21411.113827708465</c:v>
                </c:pt>
                <c:pt idx="35">
                  <c:v>13083.465628058928</c:v>
                </c:pt>
                <c:pt idx="36">
                  <c:v>10271.480210814794</c:v>
                </c:pt>
                <c:pt idx="37">
                  <c:v>11979.189006774452</c:v>
                </c:pt>
                <c:pt idx="38">
                  <c:v>14509.243744838395</c:v>
                </c:pt>
              </c:numCache>
            </c:numRef>
          </c:val>
          <c:smooth val="0"/>
        </c:ser>
        <c:axId val="52295707"/>
        <c:axId val="899316"/>
      </c:lineChart>
      <c:catAx>
        <c:axId val="5229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9316"/>
        <c:crosses val="autoZero"/>
        <c:auto val="1"/>
        <c:lblOffset val="100"/>
        <c:noMultiLvlLbl val="0"/>
      </c:catAx>
      <c:valAx>
        <c:axId val="899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295707"/>
        <c:crossesAt val="1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39"/>
                <c:pt idx="0">
                  <c:v>7855.762150220913</c:v>
                </c:pt>
                <c:pt idx="1">
                  <c:v>6957.106038291605</c:v>
                </c:pt>
                <c:pt idx="2">
                  <c:v>8381.075110456553</c:v>
                </c:pt>
                <c:pt idx="3">
                  <c:v>11946.980854197349</c:v>
                </c:pt>
                <c:pt idx="4">
                  <c:v>16585.05154639175</c:v>
                </c:pt>
                <c:pt idx="5">
                  <c:v>15728.276877761415</c:v>
                </c:pt>
                <c:pt idx="6">
                  <c:v>23302.835051546394</c:v>
                </c:pt>
                <c:pt idx="7">
                  <c:v>25846.833578792342</c:v>
                </c:pt>
                <c:pt idx="8">
                  <c:v>16956.00147275405</c:v>
                </c:pt>
                <c:pt idx="9">
                  <c:v>11056.701030927834</c:v>
                </c:pt>
                <c:pt idx="10">
                  <c:v>7969.440353460971</c:v>
                </c:pt>
                <c:pt idx="11">
                  <c:v>9381.443298969072</c:v>
                </c:pt>
                <c:pt idx="12">
                  <c:v>12169.550810014729</c:v>
                </c:pt>
                <c:pt idx="13">
                  <c:v>8866.899852724595</c:v>
                </c:pt>
                <c:pt idx="14">
                  <c:v>7843.796023564064</c:v>
                </c:pt>
                <c:pt idx="15">
                  <c:v>9438.880706921944</c:v>
                </c:pt>
                <c:pt idx="16">
                  <c:v>13440.353460972017</c:v>
                </c:pt>
                <c:pt idx="17">
                  <c:v>18638.438880706923</c:v>
                </c:pt>
                <c:pt idx="18">
                  <c:v>17657.21649484536</c:v>
                </c:pt>
                <c:pt idx="19">
                  <c:v>26134.0206185567</c:v>
                </c:pt>
                <c:pt idx="20">
                  <c:v>28958.0265095729</c:v>
                </c:pt>
                <c:pt idx="21">
                  <c:v>18978.276877761415</c:v>
                </c:pt>
                <c:pt idx="22">
                  <c:v>12363.40206185567</c:v>
                </c:pt>
                <c:pt idx="23">
                  <c:v>8902.798232695139</c:v>
                </c:pt>
                <c:pt idx="24">
                  <c:v>10470.360824742267</c:v>
                </c:pt>
                <c:pt idx="25">
                  <c:v>13569.58762886598</c:v>
                </c:pt>
                <c:pt idx="26">
                  <c:v>9878.037555228277</c:v>
                </c:pt>
                <c:pt idx="27">
                  <c:v>8730.486008836524</c:v>
                </c:pt>
                <c:pt idx="28">
                  <c:v>10496.686303387334</c:v>
                </c:pt>
                <c:pt idx="29">
                  <c:v>14933.726067746686</c:v>
                </c:pt>
                <c:pt idx="30">
                  <c:v>20691.82621502209</c:v>
                </c:pt>
                <c:pt idx="31">
                  <c:v>19586.156111929307</c:v>
                </c:pt>
                <c:pt idx="32">
                  <c:v>28965.20618556701</c:v>
                </c:pt>
                <c:pt idx="33">
                  <c:v>32069.219440353463</c:v>
                </c:pt>
                <c:pt idx="34">
                  <c:v>21000.55228276878</c:v>
                </c:pt>
                <c:pt idx="35">
                  <c:v>13670.103092783504</c:v>
                </c:pt>
                <c:pt idx="36">
                  <c:v>9836.156111929307</c:v>
                </c:pt>
                <c:pt idx="37">
                  <c:v>11559.278350515464</c:v>
                </c:pt>
                <c:pt idx="38">
                  <c:v>14969.624447717231</c:v>
                </c:pt>
              </c:numCache>
            </c:numRef>
          </c:val>
          <c:smooth val="0"/>
        </c:ser>
        <c:axId val="8093845"/>
        <c:axId val="5735742"/>
      </c:lineChart>
      <c:catAx>
        <c:axId val="809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5742"/>
        <c:crosses val="autoZero"/>
        <c:auto val="1"/>
        <c:lblOffset val="100"/>
        <c:noMultiLvlLbl val="0"/>
      </c:catAx>
      <c:valAx>
        <c:axId val="5735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093845"/>
        <c:crossesAt val="1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375"/>
          <c:w val="0.65125"/>
          <c:h val="0.9325"/>
        </c:manualLayout>
      </c:layout>
      <c:lineChart>
        <c:grouping val="standard"/>
        <c:varyColors val="0"/>
        <c:ser>
          <c:idx val="0"/>
          <c:order val="0"/>
          <c:tx>
            <c:strRef>
              <c:f>MoyennesMobiles!$L$6</c:f>
              <c:strCache>
                <c:ptCount val="1"/>
                <c:pt idx="0">
                  <c:v>Ventes désais. (mult.)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MoyennesMobiles!$L$7:$L$45</c:f>
              <c:numCache>
                <c:ptCount val="39"/>
                <c:pt idx="0">
                  <c:v>14720.332598893534</c:v>
                </c:pt>
                <c:pt idx="1">
                  <c:v>13142.24405551272</c:v>
                </c:pt>
                <c:pt idx="2">
                  <c:v>13819.352467490447</c:v>
                </c:pt>
                <c:pt idx="3">
                  <c:v>13068.923850911044</c:v>
                </c:pt>
                <c:pt idx="4">
                  <c:v>12946.812684403445</c:v>
                </c:pt>
                <c:pt idx="5">
                  <c:v>14054.33211336756</c:v>
                </c:pt>
                <c:pt idx="6">
                  <c:v>14069.329308866858</c:v>
                </c:pt>
                <c:pt idx="7">
                  <c:v>13508.386367207313</c:v>
                </c:pt>
                <c:pt idx="8">
                  <c:v>13720.04352756707</c:v>
                </c:pt>
                <c:pt idx="9">
                  <c:v>13732.881622302675</c:v>
                </c:pt>
                <c:pt idx="10">
                  <c:v>13370.938028334709</c:v>
                </c:pt>
                <c:pt idx="11">
                  <c:v>14151.533623535433</c:v>
                </c:pt>
                <c:pt idx="12">
                  <c:v>14032.029152646775</c:v>
                </c:pt>
                <c:pt idx="13">
                  <c:v>14183.759264821074</c:v>
                </c:pt>
                <c:pt idx="14">
                  <c:v>14343.985465124344</c:v>
                </c:pt>
                <c:pt idx="15">
                  <c:v>15410.770260456446</c:v>
                </c:pt>
                <c:pt idx="16">
                  <c:v>14525.744655086582</c:v>
                </c:pt>
                <c:pt idx="17">
                  <c:v>14894.8714796356</c:v>
                </c:pt>
                <c:pt idx="18">
                  <c:v>13777.628050970474</c:v>
                </c:pt>
                <c:pt idx="19">
                  <c:v>14273.00685340549</c:v>
                </c:pt>
                <c:pt idx="20">
                  <c:v>15165.65543250912</c:v>
                </c:pt>
                <c:pt idx="21">
                  <c:v>15066.601122621953</c:v>
                </c:pt>
                <c:pt idx="22">
                  <c:v>15138.054984843904</c:v>
                </c:pt>
                <c:pt idx="23">
                  <c:v>15796.527840023578</c:v>
                </c:pt>
                <c:pt idx="24">
                  <c:v>15309.171599417297</c:v>
                </c:pt>
                <c:pt idx="25">
                  <c:v>15782.80876238441</c:v>
                </c:pt>
                <c:pt idx="26">
                  <c:v>16004.396458104673</c:v>
                </c:pt>
                <c:pt idx="27">
                  <c:v>16328.300880675059</c:v>
                </c:pt>
                <c:pt idx="28">
                  <c:v>15482.221671569205</c:v>
                </c:pt>
                <c:pt idx="29">
                  <c:v>16656.535622030922</c:v>
                </c:pt>
                <c:pt idx="30">
                  <c:v>16429.63532188644</c:v>
                </c:pt>
                <c:pt idx="31">
                  <c:v>17893.81581147372</c:v>
                </c:pt>
                <c:pt idx="32">
                  <c:v>16984.28385563504</c:v>
                </c:pt>
                <c:pt idx="33">
                  <c:v>16763.54697531771</c:v>
                </c:pt>
                <c:pt idx="34">
                  <c:v>17462.837472877098</c:v>
                </c:pt>
                <c:pt idx="35">
                  <c:v>16168.762622802908</c:v>
                </c:pt>
                <c:pt idx="36">
                  <c:v>17229.068434202207</c:v>
                </c:pt>
                <c:pt idx="37">
                  <c:v>17687.94045036842</c:v>
                </c:pt>
                <c:pt idx="38">
                  <c:v>14968.804571410341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MoyennesMobiles!$M$6</c:f>
              <c:strCache>
                <c:ptCount val="1"/>
                <c:pt idx="0">
                  <c:v>Ventes désais. (add.)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MoyennesMobiles!$M$7:$M$45</c:f>
              <c:numCache>
                <c:ptCount val="39"/>
                <c:pt idx="0">
                  <c:v>14941.538461538461</c:v>
                </c:pt>
                <c:pt idx="1">
                  <c:v>14258.192307692309</c:v>
                </c:pt>
                <c:pt idx="2">
                  <c:v>14573.692307692309</c:v>
                </c:pt>
                <c:pt idx="3">
                  <c:v>13335</c:v>
                </c:pt>
                <c:pt idx="4">
                  <c:v>12231.461538461537</c:v>
                </c:pt>
                <c:pt idx="5">
                  <c:v>13759.076923076924</c:v>
                </c:pt>
                <c:pt idx="6">
                  <c:v>13164.5</c:v>
                </c:pt>
                <c:pt idx="7">
                  <c:v>11899.153846153846</c:v>
                </c:pt>
                <c:pt idx="8">
                  <c:v>13453.538461538461</c:v>
                </c:pt>
                <c:pt idx="9">
                  <c:v>13970.923076923076</c:v>
                </c:pt>
                <c:pt idx="10">
                  <c:v>13812.461538461537</c:v>
                </c:pt>
                <c:pt idx="11">
                  <c:v>14627</c:v>
                </c:pt>
                <c:pt idx="12">
                  <c:v>14082.461538461537</c:v>
                </c:pt>
                <c:pt idx="13">
                  <c:v>14623.538461538461</c:v>
                </c:pt>
                <c:pt idx="14">
                  <c:v>14883.192307692309</c:v>
                </c:pt>
                <c:pt idx="15">
                  <c:v>15553.692307692309</c:v>
                </c:pt>
                <c:pt idx="16">
                  <c:v>14673</c:v>
                </c:pt>
                <c:pt idx="17">
                  <c:v>14748.461538461537</c:v>
                </c:pt>
                <c:pt idx="18">
                  <c:v>13437.076923076924</c:v>
                </c:pt>
                <c:pt idx="19">
                  <c:v>13517.5</c:v>
                </c:pt>
                <c:pt idx="20">
                  <c:v>15025.153846153846</c:v>
                </c:pt>
                <c:pt idx="21">
                  <c:v>15104.538461538461</c:v>
                </c:pt>
                <c:pt idx="22">
                  <c:v>15107.923076923076</c:v>
                </c:pt>
                <c:pt idx="23">
                  <c:v>15258.461538461537</c:v>
                </c:pt>
                <c:pt idx="24">
                  <c:v>15411</c:v>
                </c:pt>
                <c:pt idx="25">
                  <c:v>15779.461538461537</c:v>
                </c:pt>
                <c:pt idx="26">
                  <c:v>15702.538461538461</c:v>
                </c:pt>
                <c:pt idx="27">
                  <c:v>15915.192307692309</c:v>
                </c:pt>
                <c:pt idx="28">
                  <c:v>15597.692307692309</c:v>
                </c:pt>
                <c:pt idx="29">
                  <c:v>16630</c:v>
                </c:pt>
                <c:pt idx="30">
                  <c:v>16731.46153846154</c:v>
                </c:pt>
                <c:pt idx="31">
                  <c:v>18227.076923076922</c:v>
                </c:pt>
                <c:pt idx="32">
                  <c:v>18216.5</c:v>
                </c:pt>
                <c:pt idx="33">
                  <c:v>18039.153846153844</c:v>
                </c:pt>
                <c:pt idx="34">
                  <c:v>18042.53846153846</c:v>
                </c:pt>
                <c:pt idx="35">
                  <c:v>15941.923076923076</c:v>
                </c:pt>
                <c:pt idx="36">
                  <c:v>16112.461538461537</c:v>
                </c:pt>
                <c:pt idx="37">
                  <c:v>17022</c:v>
                </c:pt>
                <c:pt idx="38">
                  <c:v>14990.461538461537</c:v>
                </c:pt>
              </c:numCache>
            </c:numRef>
          </c:val>
          <c:smooth val="0"/>
        </c:ser>
        <c:marker val="1"/>
        <c:axId val="51621679"/>
        <c:axId val="61941928"/>
      </c:lineChart>
      <c:catAx>
        <c:axId val="5162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41928"/>
        <c:crosses val="autoZero"/>
        <c:auto val="1"/>
        <c:lblOffset val="100"/>
        <c:noMultiLvlLbl val="0"/>
      </c:catAx>
      <c:valAx>
        <c:axId val="61941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216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5"/>
          <c:y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MoyennesMobiles!$D$6</c:f>
              <c:strCache>
                <c:ptCount val="1"/>
                <c:pt idx="0">
                  <c:v>Ventes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MoyennesMobiles!$D$7:$D$45</c:f>
              <c:numCache>
                <c:ptCount val="39"/>
                <c:pt idx="0">
                  <c:v>8724</c:v>
                </c:pt>
                <c:pt idx="1">
                  <c:v>6835</c:v>
                </c:pt>
                <c:pt idx="2">
                  <c:v>8510</c:v>
                </c:pt>
                <c:pt idx="3">
                  <c:v>12003</c:v>
                </c:pt>
                <c:pt idx="4">
                  <c:v>16728</c:v>
                </c:pt>
                <c:pt idx="5">
                  <c:v>16355</c:v>
                </c:pt>
                <c:pt idx="6">
                  <c:v>24384</c:v>
                </c:pt>
                <c:pt idx="7">
                  <c:v>25480</c:v>
                </c:pt>
                <c:pt idx="8">
                  <c:v>16822</c:v>
                </c:pt>
                <c:pt idx="9">
                  <c:v>11112</c:v>
                </c:pt>
                <c:pt idx="10">
                  <c:v>7971</c:v>
                </c:pt>
                <c:pt idx="11">
                  <c:v>9584</c:v>
                </c:pt>
                <c:pt idx="12">
                  <c:v>13601</c:v>
                </c:pt>
                <c:pt idx="13">
                  <c:v>8406</c:v>
                </c:pt>
                <c:pt idx="14">
                  <c:v>7460</c:v>
                </c:pt>
                <c:pt idx="15">
                  <c:v>9490</c:v>
                </c:pt>
                <c:pt idx="16">
                  <c:v>13341</c:v>
                </c:pt>
                <c:pt idx="17">
                  <c:v>19245</c:v>
                </c:pt>
                <c:pt idx="18">
                  <c:v>16033</c:v>
                </c:pt>
                <c:pt idx="19">
                  <c:v>24737</c:v>
                </c:pt>
                <c:pt idx="20">
                  <c:v>28606</c:v>
                </c:pt>
                <c:pt idx="21">
                  <c:v>18473</c:v>
                </c:pt>
                <c:pt idx="22">
                  <c:v>12249</c:v>
                </c:pt>
                <c:pt idx="23">
                  <c:v>9417</c:v>
                </c:pt>
                <c:pt idx="24">
                  <c:v>10368</c:v>
                </c:pt>
                <c:pt idx="25">
                  <c:v>15298</c:v>
                </c:pt>
                <c:pt idx="26">
                  <c:v>9485</c:v>
                </c:pt>
                <c:pt idx="27">
                  <c:v>8492</c:v>
                </c:pt>
                <c:pt idx="28">
                  <c:v>9534</c:v>
                </c:pt>
                <c:pt idx="29">
                  <c:v>15298</c:v>
                </c:pt>
                <c:pt idx="30">
                  <c:v>21228</c:v>
                </c:pt>
                <c:pt idx="31">
                  <c:v>20823</c:v>
                </c:pt>
                <c:pt idx="32">
                  <c:v>29436</c:v>
                </c:pt>
                <c:pt idx="33">
                  <c:v>31620</c:v>
                </c:pt>
                <c:pt idx="34">
                  <c:v>21411</c:v>
                </c:pt>
                <c:pt idx="35">
                  <c:v>13083</c:v>
                </c:pt>
                <c:pt idx="36">
                  <c:v>10271</c:v>
                </c:pt>
                <c:pt idx="37">
                  <c:v>11979</c:v>
                </c:pt>
                <c:pt idx="38">
                  <c:v>14509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MoyennesMobiles!$P$6</c:f>
              <c:strCache>
                <c:ptCount val="1"/>
                <c:pt idx="0">
                  <c:v>Resaisonnalisation (mult.)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MoyennesMobiles!$P$7:$P$58</c:f>
              <c:numCache>
                <c:ptCount val="52"/>
                <c:pt idx="0">
                  <c:v>7753.090166493828</c:v>
                </c:pt>
                <c:pt idx="1">
                  <c:v>6858.359821905132</c:v>
                </c:pt>
                <c:pt idx="2">
                  <c:v>8185.402511883517</c:v>
                </c:pt>
                <c:pt idx="3">
                  <c:v>12304.611595758128</c:v>
                </c:pt>
                <c:pt idx="4">
                  <c:v>17445.849623830207</c:v>
                </c:pt>
                <c:pt idx="5">
                  <c:v>15834.999031247076</c:v>
                </c:pt>
                <c:pt idx="6">
                  <c:v>23765.671817012142</c:v>
                </c:pt>
                <c:pt idx="7">
                  <c:v>26063.32522844375</c:v>
                </c:pt>
                <c:pt idx="8">
                  <c:v>17070.49947541466</c:v>
                </c:pt>
                <c:pt idx="9">
                  <c:v>11350.634039315571</c:v>
                </c:pt>
                <c:pt idx="10">
                  <c:v>8425.226879466021</c:v>
                </c:pt>
                <c:pt idx="11">
                  <c:v>9642.53149305732</c:v>
                </c:pt>
                <c:pt idx="12">
                  <c:v>13902.457365063508</c:v>
                </c:pt>
                <c:pt idx="13">
                  <c:v>8567.651554930208</c:v>
                </c:pt>
                <c:pt idx="14">
                  <c:v>7573.228672332479</c:v>
                </c:pt>
                <c:pt idx="15">
                  <c:v>9031.910076367425</c:v>
                </c:pt>
                <c:pt idx="16">
                  <c:v>13567.225442792647</c:v>
                </c:pt>
                <c:pt idx="17">
                  <c:v>19222.219150494115</c:v>
                </c:pt>
                <c:pt idx="18">
                  <c:v>17435.014138234033</c:v>
                </c:pt>
                <c:pt idx="19">
                  <c:v>26148.797168898614</c:v>
                </c:pt>
                <c:pt idx="20">
                  <c:v>28657.163326313006</c:v>
                </c:pt>
                <c:pt idx="21">
                  <c:v>18756.666668216734</c:v>
                </c:pt>
                <c:pt idx="22">
                  <c:v>12463.494289649358</c:v>
                </c:pt>
                <c:pt idx="23">
                  <c:v>9245.186721981683</c:v>
                </c:pt>
                <c:pt idx="24">
                  <c:v>10574.103696516248</c:v>
                </c:pt>
                <c:pt idx="25">
                  <c:v>15235.841114232162</c:v>
                </c:pt>
                <c:pt idx="26">
                  <c:v>9372.256429203922</c:v>
                </c:pt>
                <c:pt idx="27">
                  <c:v>8279.256186416564</c:v>
                </c:pt>
                <c:pt idx="28">
                  <c:v>9867.825827642691</c:v>
                </c:pt>
                <c:pt idx="29">
                  <c:v>14813.858463679388</c:v>
                </c:pt>
                <c:pt idx="30">
                  <c:v>20975.84850108714</c:v>
                </c:pt>
                <c:pt idx="31">
                  <c:v>19014.31541850537</c:v>
                </c:pt>
                <c:pt idx="32">
                  <c:v>28500.726150982056</c:v>
                </c:pt>
                <c:pt idx="33">
                  <c:v>31216.671935271155</c:v>
                </c:pt>
                <c:pt idx="34">
                  <c:v>20420.2738159739</c:v>
                </c:pt>
                <c:pt idx="35">
                  <c:v>13561.304297384071</c:v>
                </c:pt>
                <c:pt idx="36">
                  <c:v>10053.939063596328</c:v>
                </c:pt>
                <c:pt idx="37">
                  <c:v>11492.808319340866</c:v>
                </c:pt>
                <c:pt idx="38">
                  <c:v>16550.614639807405</c:v>
                </c:pt>
                <c:pt idx="39">
                  <c:v>10181.839560558969</c:v>
                </c:pt>
                <c:pt idx="40">
                  <c:v>8989.704368672279</c:v>
                </c:pt>
                <c:pt idx="41">
                  <c:v>10709.037485522278</c:v>
                </c:pt>
                <c:pt idx="42">
                  <c:v>16068.481897640018</c:v>
                </c:pt>
                <c:pt idx="43">
                  <c:v>22740.84793971561</c:v>
                </c:pt>
                <c:pt idx="44">
                  <c:v>20603.97361213452</c:v>
                </c:pt>
                <c:pt idx="45">
                  <c:v>30868.253317967017</c:v>
                </c:pt>
                <c:pt idx="46">
                  <c:v>33793.34528868486</c:v>
                </c:pt>
                <c:pt idx="47">
                  <c:v>22095.160986253515</c:v>
                </c:pt>
                <c:pt idx="48">
                  <c:v>14666.639426418318</c:v>
                </c:pt>
                <c:pt idx="49">
                  <c:v>10868.295155661483</c:v>
                </c:pt>
                <c:pt idx="50">
                  <c:v>12417.946732482638</c:v>
                </c:pt>
                <c:pt idx="51">
                  <c:v>17874.693277179354</c:v>
                </c:pt>
              </c:numCache>
            </c:numRef>
          </c:val>
          <c:smooth val="0"/>
        </c:ser>
        <c:marker val="1"/>
        <c:axId val="20606441"/>
        <c:axId val="51240242"/>
      </c:lineChart>
      <c:catAx>
        <c:axId val="20606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40242"/>
        <c:crosses val="autoZero"/>
        <c:auto val="1"/>
        <c:lblOffset val="100"/>
        <c:noMultiLvlLbl val="0"/>
      </c:catAx>
      <c:valAx>
        <c:axId val="51240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064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Holt!$D$7</c:f>
              <c:strCache>
                <c:ptCount val="1"/>
                <c:pt idx="0">
                  <c:v>Ventes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Holt!$D$8:$D$19</c:f>
              <c:numCache>
                <c:ptCount val="12"/>
                <c:pt idx="0">
                  <c:v>1830</c:v>
                </c:pt>
                <c:pt idx="1">
                  <c:v>1775</c:v>
                </c:pt>
                <c:pt idx="2">
                  <c:v>1475</c:v>
                </c:pt>
                <c:pt idx="3">
                  <c:v>1675</c:v>
                </c:pt>
                <c:pt idx="4">
                  <c:v>2850</c:v>
                </c:pt>
                <c:pt idx="5">
                  <c:v>2500</c:v>
                </c:pt>
                <c:pt idx="6">
                  <c:v>1950</c:v>
                </c:pt>
                <c:pt idx="7">
                  <c:v>2050</c:v>
                </c:pt>
                <c:pt idx="8">
                  <c:v>3375</c:v>
                </c:pt>
                <c:pt idx="9">
                  <c:v>3100</c:v>
                </c:pt>
                <c:pt idx="10">
                  <c:v>2000</c:v>
                </c:pt>
                <c:pt idx="11">
                  <c:v>2700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Holt!$G$7</c:f>
              <c:strCache>
                <c:ptCount val="1"/>
                <c:pt idx="0">
                  <c:v>Prévision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Holt!$G$8:$G$23</c:f>
              <c:numCache>
                <c:ptCount val="16"/>
                <c:pt idx="1">
                  <c:v>1830</c:v>
                </c:pt>
                <c:pt idx="2">
                  <c:v>1816.2282519842424</c:v>
                </c:pt>
                <c:pt idx="3">
                  <c:v>1728.2325489858495</c:v>
                </c:pt>
                <c:pt idx="4">
                  <c:v>1696.5060378522485</c:v>
                </c:pt>
                <c:pt idx="5">
                  <c:v>1964.4666691457546</c:v>
                </c:pt>
                <c:pt idx="6">
                  <c:v>2131.250815574325</c:v>
                </c:pt>
                <c:pt idx="7">
                  <c:v>2143.4209124329523</c:v>
                </c:pt>
                <c:pt idx="8">
                  <c:v>2169.1675347930704</c:v>
                </c:pt>
                <c:pt idx="9">
                  <c:v>2515.903611984371</c:v>
                </c:pt>
                <c:pt idx="10">
                  <c:v>2762.9479856992434</c:v>
                </c:pt>
                <c:pt idx="11">
                  <c:v>2699.8188740204773</c:v>
                </c:pt>
                <c:pt idx="12">
                  <c:v>2792.3123166596897</c:v>
                </c:pt>
                <c:pt idx="13">
                  <c:v>2884.805759298902</c:v>
                </c:pt>
                <c:pt idx="14">
                  <c:v>2977.2992019381145</c:v>
                </c:pt>
                <c:pt idx="15">
                  <c:v>3069.792644577327</c:v>
                </c:pt>
              </c:numCache>
            </c:numRef>
          </c:val>
          <c:smooth val="0"/>
        </c:ser>
        <c:marker val="1"/>
        <c:axId val="58508995"/>
        <c:axId val="56818908"/>
      </c:lineChart>
      <c:catAx>
        <c:axId val="5850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18908"/>
        <c:crosses val="autoZero"/>
        <c:auto val="1"/>
        <c:lblOffset val="100"/>
        <c:noMultiLvlLbl val="0"/>
      </c:catAx>
      <c:valAx>
        <c:axId val="56818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089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HoltWinterMultiplicatif!$D$7</c:f>
              <c:strCache>
                <c:ptCount val="1"/>
                <c:pt idx="0">
                  <c:v>Ventes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HoltWinterMultiplicatif!$D$8:$D$19</c:f>
              <c:numCache>
                <c:ptCount val="12"/>
                <c:pt idx="0">
                  <c:v>1830</c:v>
                </c:pt>
                <c:pt idx="1">
                  <c:v>1775</c:v>
                </c:pt>
                <c:pt idx="2">
                  <c:v>1475</c:v>
                </c:pt>
                <c:pt idx="3">
                  <c:v>1675</c:v>
                </c:pt>
                <c:pt idx="4">
                  <c:v>2850</c:v>
                </c:pt>
                <c:pt idx="5">
                  <c:v>2500</c:v>
                </c:pt>
                <c:pt idx="6">
                  <c:v>1950</c:v>
                </c:pt>
                <c:pt idx="7">
                  <c:v>2050</c:v>
                </c:pt>
                <c:pt idx="8">
                  <c:v>3375</c:v>
                </c:pt>
                <c:pt idx="9">
                  <c:v>3100</c:v>
                </c:pt>
                <c:pt idx="10">
                  <c:v>2000</c:v>
                </c:pt>
                <c:pt idx="11">
                  <c:v>2700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HoltWinterMultiplicatif!$H$7</c:f>
              <c:strCache>
                <c:ptCount val="1"/>
                <c:pt idx="0">
                  <c:v>Prévision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HoltWinterMultiplicatif!$H$8:$H$23</c:f>
              <c:numCache>
                <c:ptCount val="16"/>
                <c:pt idx="4">
                  <c:v>1774.0118430792006</c:v>
                </c:pt>
                <c:pt idx="5">
                  <c:v>2096.3087695313743</c:v>
                </c:pt>
                <c:pt idx="6">
                  <c:v>1947.9576934079812</c:v>
                </c:pt>
                <c:pt idx="7">
                  <c:v>2339.584841102803</c:v>
                </c:pt>
                <c:pt idx="8">
                  <c:v>3324.5535674655807</c:v>
                </c:pt>
                <c:pt idx="9">
                  <c:v>2868.8001039311625</c:v>
                </c:pt>
                <c:pt idx="10">
                  <c:v>2313.931451313491</c:v>
                </c:pt>
                <c:pt idx="11">
                  <c:v>2408.088085792316</c:v>
                </c:pt>
                <c:pt idx="12">
                  <c:v>4002.7705899129255</c:v>
                </c:pt>
                <c:pt idx="13">
                  <c:v>3566.8807387722854</c:v>
                </c:pt>
                <c:pt idx="14">
                  <c:v>2454.2596035674924</c:v>
                </c:pt>
                <c:pt idx="15">
                  <c:v>3108.7814530628725</c:v>
                </c:pt>
              </c:numCache>
            </c:numRef>
          </c:val>
          <c:smooth val="0"/>
        </c:ser>
        <c:marker val="1"/>
        <c:axId val="41608125"/>
        <c:axId val="38928806"/>
      </c:lineChart>
      <c:catAx>
        <c:axId val="4160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28806"/>
        <c:crosses val="autoZero"/>
        <c:auto val="1"/>
        <c:lblOffset val="100"/>
        <c:noMultiLvlLbl val="0"/>
      </c:catAx>
      <c:valAx>
        <c:axId val="38928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081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239125" y="6638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20</xdr:row>
      <xdr:rowOff>161925</xdr:rowOff>
    </xdr:from>
    <xdr:to>
      <xdr:col>13</xdr:col>
      <xdr:colOff>0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8239125" y="3400425"/>
        <a:ext cx="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1</xdr:row>
      <xdr:rowOff>66675</xdr:rowOff>
    </xdr:from>
    <xdr:to>
      <xdr:col>9</xdr:col>
      <xdr:colOff>400050</xdr:colOff>
      <xdr:row>14</xdr:row>
      <xdr:rowOff>85725</xdr:rowOff>
    </xdr:to>
    <xdr:graphicFrame>
      <xdr:nvGraphicFramePr>
        <xdr:cNvPr id="3" name="Chart 3"/>
        <xdr:cNvGraphicFramePr/>
      </xdr:nvGraphicFramePr>
      <xdr:xfrm>
        <a:off x="2914650" y="228600"/>
        <a:ext cx="294322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45</xdr:row>
      <xdr:rowOff>133350</xdr:rowOff>
    </xdr:from>
    <xdr:to>
      <xdr:col>20</xdr:col>
      <xdr:colOff>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4106525" y="7743825"/>
        <a:ext cx="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24</xdr:row>
      <xdr:rowOff>161925</xdr:rowOff>
    </xdr:from>
    <xdr:to>
      <xdr:col>20</xdr:col>
      <xdr:colOff>0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14106525" y="4371975"/>
        <a:ext cx="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561975</xdr:colOff>
      <xdr:row>5</xdr:row>
      <xdr:rowOff>238125</xdr:rowOff>
    </xdr:from>
    <xdr:to>
      <xdr:col>29</xdr:col>
      <xdr:colOff>104775</xdr:colOff>
      <xdr:row>22</xdr:row>
      <xdr:rowOff>66675</xdr:rowOff>
    </xdr:to>
    <xdr:graphicFrame>
      <xdr:nvGraphicFramePr>
        <xdr:cNvPr id="3" name="Chart 3"/>
        <xdr:cNvGraphicFramePr/>
      </xdr:nvGraphicFramePr>
      <xdr:xfrm>
        <a:off x="15440025" y="1047750"/>
        <a:ext cx="502920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66675</xdr:colOff>
      <xdr:row>45</xdr:row>
      <xdr:rowOff>142875</xdr:rowOff>
    </xdr:from>
    <xdr:to>
      <xdr:col>12</xdr:col>
      <xdr:colOff>552450</xdr:colOff>
      <xdr:row>57</xdr:row>
      <xdr:rowOff>28575</xdr:rowOff>
    </xdr:to>
    <xdr:graphicFrame>
      <xdr:nvGraphicFramePr>
        <xdr:cNvPr id="4" name="Chart 4"/>
        <xdr:cNvGraphicFramePr/>
      </xdr:nvGraphicFramePr>
      <xdr:xfrm>
        <a:off x="1343025" y="7753350"/>
        <a:ext cx="7591425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24</xdr:row>
      <xdr:rowOff>85725</xdr:rowOff>
    </xdr:from>
    <xdr:to>
      <xdr:col>8</xdr:col>
      <xdr:colOff>628650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476250" y="4305300"/>
        <a:ext cx="5705475" cy="130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24</xdr:row>
      <xdr:rowOff>66675</xdr:rowOff>
    </xdr:from>
    <xdr:to>
      <xdr:col>9</xdr:col>
      <xdr:colOff>552450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542925" y="4276725"/>
        <a:ext cx="6496050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1"/>
  <sheetViews>
    <sheetView showGridLines="0" tabSelected="1" zoomScaleSheetLayoutView="1" workbookViewId="0" topLeftCell="A1">
      <selection activeCell="A1" sqref="A1"/>
    </sheetView>
  </sheetViews>
  <sheetFormatPr defaultColWidth="11.00390625" defaultRowHeight="12.75"/>
  <cols>
    <col min="1" max="1" width="2.75390625" style="1" customWidth="1"/>
    <col min="2" max="2" width="5.00390625" style="2" customWidth="1"/>
    <col min="3" max="13" width="9.125" style="2" customWidth="1"/>
    <col min="14" max="16384" width="9.125" style="1" customWidth="1"/>
  </cols>
  <sheetData>
    <row r="2" spans="2:13" ht="12.75">
      <c r="B2" s="3" t="s">
        <v>0</v>
      </c>
      <c r="C2" s="3" t="s">
        <v>1</v>
      </c>
      <c r="D2" s="3" t="s">
        <v>2</v>
      </c>
      <c r="E2" s="3" t="s">
        <v>3</v>
      </c>
      <c r="L2" s="3" t="s">
        <v>4</v>
      </c>
      <c r="M2" s="3" t="s">
        <v>5</v>
      </c>
    </row>
    <row r="3" spans="2:13" ht="12.75">
      <c r="B3" s="5">
        <v>1</v>
      </c>
      <c r="C3" s="4">
        <v>8724</v>
      </c>
      <c r="D3" s="4">
        <v>8406</v>
      </c>
      <c r="E3" s="4">
        <v>9485</v>
      </c>
      <c r="L3" s="5">
        <v>1</v>
      </c>
      <c r="M3" s="5">
        <v>8724</v>
      </c>
    </row>
    <row r="4" spans="2:13" ht="12.75">
      <c r="B4" s="5">
        <v>2</v>
      </c>
      <c r="C4" s="4">
        <v>6835</v>
      </c>
      <c r="D4" s="4">
        <v>7460</v>
      </c>
      <c r="E4" s="4">
        <v>8492</v>
      </c>
      <c r="L4" s="5">
        <v>2</v>
      </c>
      <c r="M4" s="5">
        <v>6835</v>
      </c>
    </row>
    <row r="5" spans="2:13" ht="12.75">
      <c r="B5" s="5">
        <v>3</v>
      </c>
      <c r="C5" s="4">
        <v>8510</v>
      </c>
      <c r="D5" s="4">
        <v>9490</v>
      </c>
      <c r="E5" s="4">
        <v>9534</v>
      </c>
      <c r="L5" s="5">
        <v>3</v>
      </c>
      <c r="M5" s="5">
        <v>8510</v>
      </c>
    </row>
    <row r="6" spans="2:13" ht="12.75">
      <c r="B6" s="5">
        <v>4</v>
      </c>
      <c r="C6" s="4">
        <v>12003</v>
      </c>
      <c r="D6" s="4">
        <v>13341</v>
      </c>
      <c r="E6" s="4">
        <v>15298</v>
      </c>
      <c r="L6" s="5">
        <v>4</v>
      </c>
      <c r="M6" s="5">
        <v>12003</v>
      </c>
    </row>
    <row r="7" spans="2:13" ht="12.75">
      <c r="B7" s="5">
        <v>5</v>
      </c>
      <c r="C7" s="4">
        <v>16728</v>
      </c>
      <c r="D7" s="4">
        <v>19245</v>
      </c>
      <c r="E7" s="4">
        <v>21228</v>
      </c>
      <c r="L7" s="5">
        <v>5</v>
      </c>
      <c r="M7" s="5">
        <v>16728</v>
      </c>
    </row>
    <row r="8" spans="2:13" ht="12.75">
      <c r="B8" s="5">
        <v>6</v>
      </c>
      <c r="C8" s="4">
        <v>16355</v>
      </c>
      <c r="D8" s="4">
        <v>16033</v>
      </c>
      <c r="E8" s="4">
        <v>20823</v>
      </c>
      <c r="L8" s="5">
        <v>6</v>
      </c>
      <c r="M8" s="5">
        <v>16355</v>
      </c>
    </row>
    <row r="9" spans="2:13" ht="12.75">
      <c r="B9" s="5">
        <v>7</v>
      </c>
      <c r="C9" s="4">
        <v>24384</v>
      </c>
      <c r="D9" s="4">
        <v>24737</v>
      </c>
      <c r="E9" s="4">
        <v>29436</v>
      </c>
      <c r="L9" s="5">
        <v>7</v>
      </c>
      <c r="M9" s="5">
        <v>24384</v>
      </c>
    </row>
    <row r="10" spans="2:13" ht="12.75">
      <c r="B10" s="5">
        <v>8</v>
      </c>
      <c r="C10" s="4">
        <v>25480</v>
      </c>
      <c r="D10" s="4">
        <v>28606</v>
      </c>
      <c r="E10" s="4">
        <v>31620</v>
      </c>
      <c r="L10" s="5">
        <v>8</v>
      </c>
      <c r="M10" s="5">
        <v>25480</v>
      </c>
    </row>
    <row r="11" spans="2:13" ht="12.75">
      <c r="B11" s="5">
        <v>9</v>
      </c>
      <c r="C11" s="4">
        <v>16822</v>
      </c>
      <c r="D11" s="4">
        <v>18473</v>
      </c>
      <c r="E11" s="4">
        <v>21411</v>
      </c>
      <c r="L11" s="5">
        <v>9</v>
      </c>
      <c r="M11" s="5">
        <v>16822</v>
      </c>
    </row>
    <row r="12" spans="2:13" ht="12.75">
      <c r="B12" s="5">
        <v>10</v>
      </c>
      <c r="C12" s="4">
        <v>11112</v>
      </c>
      <c r="D12" s="4">
        <v>12249</v>
      </c>
      <c r="E12" s="4">
        <v>13083</v>
      </c>
      <c r="L12" s="5">
        <v>10</v>
      </c>
      <c r="M12" s="5">
        <v>11112</v>
      </c>
    </row>
    <row r="13" spans="2:13" ht="12.75">
      <c r="B13" s="5">
        <v>11</v>
      </c>
      <c r="C13" s="4">
        <v>7971</v>
      </c>
      <c r="D13" s="4">
        <v>9417</v>
      </c>
      <c r="E13" s="4">
        <v>10271</v>
      </c>
      <c r="L13" s="5">
        <v>11</v>
      </c>
      <c r="M13" s="5">
        <v>7971</v>
      </c>
    </row>
    <row r="14" spans="2:13" ht="12.75">
      <c r="B14" s="5">
        <v>12</v>
      </c>
      <c r="C14" s="4">
        <v>9584</v>
      </c>
      <c r="D14" s="4">
        <v>10368</v>
      </c>
      <c r="E14" s="4">
        <v>11979</v>
      </c>
      <c r="L14" s="5">
        <v>12</v>
      </c>
      <c r="M14" s="5">
        <v>9584</v>
      </c>
    </row>
    <row r="15" spans="2:13" ht="12.75">
      <c r="B15" s="5">
        <v>13</v>
      </c>
      <c r="C15" s="4">
        <v>13601</v>
      </c>
      <c r="D15" s="4">
        <v>15298</v>
      </c>
      <c r="E15" s="4">
        <v>14509</v>
      </c>
      <c r="L15" s="5">
        <v>13</v>
      </c>
      <c r="M15" s="5">
        <v>13601</v>
      </c>
    </row>
    <row r="16" spans="12:13" ht="12.75">
      <c r="L16" s="5">
        <v>1</v>
      </c>
      <c r="M16" s="5">
        <v>8406</v>
      </c>
    </row>
    <row r="17" spans="12:13" ht="12.75">
      <c r="L17" s="5">
        <v>2</v>
      </c>
      <c r="M17" s="5">
        <v>7460</v>
      </c>
    </row>
    <row r="18" spans="12:13" ht="12.75">
      <c r="L18" s="5">
        <v>3</v>
      </c>
      <c r="M18" s="5">
        <v>9490</v>
      </c>
    </row>
    <row r="19" spans="12:13" ht="12.75">
      <c r="L19" s="5">
        <v>4</v>
      </c>
      <c r="M19" s="5">
        <v>13341</v>
      </c>
    </row>
    <row r="20" spans="12:13" ht="12.75">
      <c r="L20" s="5">
        <v>5</v>
      </c>
      <c r="M20" s="5">
        <v>19245</v>
      </c>
    </row>
    <row r="21" spans="12:13" ht="12.75">
      <c r="L21" s="5">
        <v>6</v>
      </c>
      <c r="M21" s="5">
        <v>16033</v>
      </c>
    </row>
    <row r="22" spans="12:13" ht="12.75">
      <c r="L22" s="5">
        <v>7</v>
      </c>
      <c r="M22" s="5">
        <v>24737</v>
      </c>
    </row>
    <row r="23" spans="12:13" ht="12.75">
      <c r="L23" s="5">
        <v>8</v>
      </c>
      <c r="M23" s="5">
        <v>28606</v>
      </c>
    </row>
    <row r="24" spans="12:13" ht="12.75">
      <c r="L24" s="5">
        <v>9</v>
      </c>
      <c r="M24" s="5">
        <v>18473</v>
      </c>
    </row>
    <row r="25" spans="12:13" ht="12.75">
      <c r="L25" s="5">
        <v>10</v>
      </c>
      <c r="M25" s="5">
        <v>12249</v>
      </c>
    </row>
    <row r="26" spans="12:13" ht="12.75">
      <c r="L26" s="5">
        <v>11</v>
      </c>
      <c r="M26" s="5">
        <v>9417</v>
      </c>
    </row>
    <row r="27" spans="12:13" ht="12.75">
      <c r="L27" s="5">
        <v>12</v>
      </c>
      <c r="M27" s="5">
        <v>10368</v>
      </c>
    </row>
    <row r="28" spans="12:13" ht="12.75">
      <c r="L28" s="5">
        <v>13</v>
      </c>
      <c r="M28" s="5">
        <v>15298</v>
      </c>
    </row>
    <row r="29" spans="12:13" ht="12.75">
      <c r="L29" s="5">
        <v>1</v>
      </c>
      <c r="M29" s="5">
        <v>9485</v>
      </c>
    </row>
    <row r="30" spans="12:13" ht="12.75">
      <c r="L30" s="5">
        <v>2</v>
      </c>
      <c r="M30" s="5">
        <v>8492</v>
      </c>
    </row>
    <row r="31" spans="12:13" ht="12.75">
      <c r="L31" s="5">
        <v>3</v>
      </c>
      <c r="M31" s="5">
        <v>9534</v>
      </c>
    </row>
    <row r="32" spans="12:13" ht="12.75">
      <c r="L32" s="5">
        <v>4</v>
      </c>
      <c r="M32" s="5">
        <v>15298</v>
      </c>
    </row>
    <row r="33" spans="12:13" ht="12.75">
      <c r="L33" s="5">
        <v>5</v>
      </c>
      <c r="M33" s="5">
        <v>21228</v>
      </c>
    </row>
    <row r="34" spans="12:13" ht="12.75">
      <c r="L34" s="5">
        <v>6</v>
      </c>
      <c r="M34" s="5">
        <v>20823</v>
      </c>
    </row>
    <row r="35" spans="12:13" ht="12.75">
      <c r="L35" s="5">
        <v>7</v>
      </c>
      <c r="M35" s="5">
        <v>29436</v>
      </c>
    </row>
    <row r="36" spans="12:13" ht="12.75">
      <c r="L36" s="5">
        <v>8</v>
      </c>
      <c r="M36" s="5">
        <v>31620</v>
      </c>
    </row>
    <row r="37" spans="12:13" ht="12.75">
      <c r="L37" s="5">
        <v>9</v>
      </c>
      <c r="M37" s="5">
        <v>21411</v>
      </c>
    </row>
    <row r="38" spans="12:13" ht="12.75">
      <c r="L38" s="5">
        <v>10</v>
      </c>
      <c r="M38" s="5">
        <v>13083</v>
      </c>
    </row>
    <row r="39" spans="12:13" ht="12.75">
      <c r="L39" s="5">
        <v>11</v>
      </c>
      <c r="M39" s="5">
        <v>10271</v>
      </c>
    </row>
    <row r="40" spans="12:13" ht="12.75">
      <c r="L40" s="5">
        <v>12</v>
      </c>
      <c r="M40" s="5">
        <v>11979</v>
      </c>
    </row>
    <row r="41" spans="12:13" ht="12.75">
      <c r="L41" s="5">
        <v>13</v>
      </c>
      <c r="M41" s="5">
        <v>14509</v>
      </c>
    </row>
  </sheetData>
  <printOptions headings="1"/>
  <pageMargins left="0.75" right="0.75" top="1.6666666666666667" bottom="1.6666666666666667" header="0" footer="0"/>
  <pageSetup cellComments="asDisplayed" fitToHeight="0" fitToWidth="0" horizontalDpi="600" verticalDpi="600" orientation="portrait" paperSize="9" r:id="rId2"/>
  <headerFooter alignWithMargins="0">
    <oddHeader>&amp;L&amp;C&amp;[TAB]&amp;R</oddHeader>
    <oddFooter>&amp;L&amp;CPage &amp;[PAGE]&amp;R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5"/>
  <sheetViews>
    <sheetView showGridLines="0" zoomScaleSheetLayoutView="1" workbookViewId="0" topLeftCell="A1">
      <selection activeCell="A1" sqref="A1"/>
    </sheetView>
  </sheetViews>
  <sheetFormatPr defaultColWidth="11.00390625" defaultRowHeight="12.75"/>
  <cols>
    <col min="1" max="1" width="3.25390625" style="1" customWidth="1"/>
    <col min="2" max="2" width="6.375" style="2" customWidth="1"/>
    <col min="3" max="3" width="7.125" style="2" customWidth="1"/>
    <col min="4" max="4" width="9.125" style="2" customWidth="1"/>
    <col min="5" max="5" width="13.625" style="2" customWidth="1"/>
    <col min="6" max="6" width="9.375" style="2" customWidth="1"/>
    <col min="7" max="7" width="12.00390625" style="2" customWidth="1"/>
    <col min="8" max="8" width="8.125" style="2" customWidth="1"/>
    <col min="9" max="9" width="10.125" style="2" customWidth="1"/>
    <col min="10" max="10" width="10.375" style="2" customWidth="1"/>
    <col min="11" max="11" width="11.125" style="2" customWidth="1"/>
    <col min="12" max="12" width="9.375" style="2" customWidth="1"/>
    <col min="13" max="13" width="9.00390625" style="2" customWidth="1"/>
    <col min="14" max="14" width="10.25390625" style="2" customWidth="1"/>
    <col min="15" max="19" width="9.125" style="2" customWidth="1"/>
    <col min="20" max="20" width="10.25390625" style="2" customWidth="1"/>
    <col min="21" max="21" width="10.125" style="1" customWidth="1"/>
    <col min="22" max="16384" width="9.00390625" style="1" customWidth="1"/>
  </cols>
  <sheetData>
    <row r="2" spans="18:19" ht="12.75">
      <c r="R2" s="19"/>
      <c r="S2" s="19"/>
    </row>
    <row r="3" spans="6:21" ht="12.75">
      <c r="F3" s="3" t="s">
        <v>27</v>
      </c>
      <c r="G3" s="3" t="s">
        <v>27</v>
      </c>
      <c r="H3" s="3" t="s">
        <v>27</v>
      </c>
      <c r="I3" s="3" t="s">
        <v>27</v>
      </c>
      <c r="J3" s="3" t="s">
        <v>28</v>
      </c>
      <c r="K3" s="3" t="s">
        <v>27</v>
      </c>
      <c r="M3" s="3" t="s">
        <v>29</v>
      </c>
      <c r="N3" s="5">
        <v>12977</v>
      </c>
      <c r="O3" s="5">
        <v>12984</v>
      </c>
      <c r="P3" s="5"/>
      <c r="Q3" s="5" t="s">
        <v>27</v>
      </c>
      <c r="R3" s="17">
        <f>SUM(R7:R45)</f>
        <v>18903.31037120316</v>
      </c>
      <c r="S3" s="17">
        <f>SUM(S7:S45)</f>
        <v>27345.550769230773</v>
      </c>
      <c r="T3" s="17">
        <f>SUM(T7:T45)</f>
        <v>17969575.484565217</v>
      </c>
      <c r="U3" s="17">
        <f>SUM(U7:U45)</f>
        <v>35537122.71966865</v>
      </c>
    </row>
    <row r="4" spans="4:21" ht="12.75">
      <c r="D4" s="15"/>
      <c r="E4" s="15"/>
      <c r="F4" s="36">
        <f>SUM(F7:F45)</f>
        <v>27.773698152391773</v>
      </c>
      <c r="G4" s="36">
        <f>SUM(G7:G45)</f>
        <v>10989.076923076922</v>
      </c>
      <c r="H4" s="36">
        <f>SUM(H7:H45)</f>
        <v>13.01901568359571</v>
      </c>
      <c r="I4" s="36">
        <f>SUM(I7:I45)</f>
        <v>12.999999999999998</v>
      </c>
      <c r="J4" s="36">
        <f>AVERAGE(J7:J19)</f>
        <v>86.53846153846126</v>
      </c>
      <c r="K4" s="36">
        <f>SUM(K7:K45)</f>
        <v>1.5347723092418164E-12</v>
      </c>
      <c r="M4" s="3" t="s">
        <v>26</v>
      </c>
      <c r="N4" s="5">
        <v>105.08</v>
      </c>
      <c r="O4" s="5">
        <v>105.18</v>
      </c>
      <c r="P4" s="5"/>
      <c r="Q4" s="5" t="s">
        <v>39</v>
      </c>
      <c r="R4" s="4">
        <f>R3/39</f>
        <v>484.7002659282861</v>
      </c>
      <c r="S4" s="4">
        <f>S3/39</f>
        <v>701.1679684418147</v>
      </c>
      <c r="T4" s="18">
        <f>SQRT(T3/38)</f>
        <v>687.6653004065969</v>
      </c>
      <c r="U4" s="18">
        <f>SQRT(U3/38)</f>
        <v>967.0508983457283</v>
      </c>
    </row>
    <row r="6" spans="2:21" ht="38.25" customHeight="1">
      <c r="B6" s="22" t="s">
        <v>0</v>
      </c>
      <c r="C6" s="22" t="s">
        <v>4</v>
      </c>
      <c r="D6" s="22" t="s">
        <v>8</v>
      </c>
      <c r="E6" s="22" t="s">
        <v>9</v>
      </c>
      <c r="F6" s="22" t="s">
        <v>10</v>
      </c>
      <c r="G6" s="26" t="s">
        <v>11</v>
      </c>
      <c r="H6" s="34" t="s">
        <v>12</v>
      </c>
      <c r="I6" s="7" t="s">
        <v>13</v>
      </c>
      <c r="J6" s="7" t="s">
        <v>14</v>
      </c>
      <c r="K6" s="33" t="s">
        <v>15</v>
      </c>
      <c r="L6" s="32" t="s">
        <v>16</v>
      </c>
      <c r="M6" s="22" t="s">
        <v>17</v>
      </c>
      <c r="N6" s="22" t="s">
        <v>18</v>
      </c>
      <c r="O6" s="22" t="s">
        <v>19</v>
      </c>
      <c r="P6" s="22" t="s">
        <v>20</v>
      </c>
      <c r="Q6" s="22" t="s">
        <v>21</v>
      </c>
      <c r="R6" s="22" t="s">
        <v>22</v>
      </c>
      <c r="S6" s="22" t="s">
        <v>23</v>
      </c>
      <c r="T6" s="22" t="s">
        <v>24</v>
      </c>
      <c r="U6" s="22" t="s">
        <v>25</v>
      </c>
    </row>
    <row r="7" spans="2:21" ht="12.75">
      <c r="B7" s="5">
        <v>1</v>
      </c>
      <c r="C7" s="5">
        <v>1</v>
      </c>
      <c r="D7" s="4">
        <v>8724</v>
      </c>
      <c r="E7" s="4"/>
      <c r="F7" s="36"/>
      <c r="G7" s="41"/>
      <c r="H7" s="40">
        <f aca="true" t="shared" si="0" ref="H7:H12">AVERAGE(F20,F33)</f>
        <v>0.5935165477914758</v>
      </c>
      <c r="I7" s="36">
        <f aca="true" t="shared" si="1" ref="I7:I19">H7*13/$H$4</f>
        <v>0.5926496525394913</v>
      </c>
      <c r="J7" s="36">
        <f aca="true" t="shared" si="2" ref="J7:J19">AVERAGE(G20,G33)</f>
        <v>-6131</v>
      </c>
      <c r="K7" s="8">
        <f aca="true" t="shared" si="3" ref="K7:K19">J7-$J$4</f>
        <v>-6217.538461538461</v>
      </c>
      <c r="L7" s="31">
        <f aca="true" t="shared" si="4" ref="L7:L19">D7/I7</f>
        <v>14720.332598893534</v>
      </c>
      <c r="M7" s="17">
        <f aca="true" t="shared" si="5" ref="M7:M19">D7-K7</f>
        <v>14941.538461538461</v>
      </c>
      <c r="N7" s="4">
        <f aca="true" t="shared" si="6" ref="N7:O26">N$4*$C7+N$3</f>
        <v>13082.08</v>
      </c>
      <c r="O7" s="4">
        <f t="shared" si="6"/>
        <v>13089.18</v>
      </c>
      <c r="P7" s="4">
        <f aca="true" t="shared" si="7" ref="P7:P19">N7*I7</f>
        <v>7753.090166493828</v>
      </c>
      <c r="Q7" s="4">
        <f aca="true" t="shared" si="8" ref="Q7:Q19">O7+K7</f>
        <v>6871.641538461539</v>
      </c>
      <c r="R7" s="4">
        <f aca="true" t="shared" si="9" ref="R7:R45">ABS(P7-D7)</f>
        <v>970.9098335061717</v>
      </c>
      <c r="S7" s="4">
        <f aca="true" t="shared" si="10" ref="S7:S45">ABS(Q7-D7)</f>
        <v>1852.3584615384607</v>
      </c>
      <c r="T7" s="4">
        <f aca="true" t="shared" si="11" ref="T7:T45">(P7-D7)^2</f>
        <v>942665.9047989821</v>
      </c>
      <c r="U7" s="46">
        <f aca="true" t="shared" si="12" ref="U7:U45">(Q7-D7)^2</f>
        <v>3431231.870033133</v>
      </c>
    </row>
    <row r="8" spans="2:21" ht="12.75">
      <c r="B8" s="5">
        <v>2</v>
      </c>
      <c r="C8" s="5">
        <v>2</v>
      </c>
      <c r="D8" s="4">
        <v>6835</v>
      </c>
      <c r="E8" s="4"/>
      <c r="F8" s="36"/>
      <c r="G8" s="41"/>
      <c r="H8" s="40">
        <f t="shared" si="0"/>
        <v>0.5208393507549745</v>
      </c>
      <c r="I8" s="36">
        <f t="shared" si="1"/>
        <v>0.5200786084270709</v>
      </c>
      <c r="J8" s="36">
        <f t="shared" si="2"/>
        <v>-7336.653846153847</v>
      </c>
      <c r="K8" s="8">
        <f t="shared" si="3"/>
        <v>-7423.192307692308</v>
      </c>
      <c r="L8" s="31">
        <f t="shared" si="4"/>
        <v>13142.24405551272</v>
      </c>
      <c r="M8" s="17">
        <f t="shared" si="5"/>
        <v>14258.192307692309</v>
      </c>
      <c r="N8" s="4">
        <f t="shared" si="6"/>
        <v>13187.16</v>
      </c>
      <c r="O8" s="4">
        <f t="shared" si="6"/>
        <v>13194.36</v>
      </c>
      <c r="P8" s="4">
        <f t="shared" si="7"/>
        <v>6858.359821905132</v>
      </c>
      <c r="Q8" s="4">
        <f t="shared" si="8"/>
        <v>5771.167692307693</v>
      </c>
      <c r="R8" s="4">
        <f t="shared" si="9"/>
        <v>23.359821905131867</v>
      </c>
      <c r="S8" s="4">
        <f t="shared" si="10"/>
        <v>1063.832307692307</v>
      </c>
      <c r="T8" s="4">
        <f t="shared" si="11"/>
        <v>545.6812794394785</v>
      </c>
      <c r="U8" s="46">
        <f t="shared" si="12"/>
        <v>1131739.1788899393</v>
      </c>
    </row>
    <row r="9" spans="2:21" ht="12.75">
      <c r="B9" s="5">
        <v>3</v>
      </c>
      <c r="C9" s="5">
        <v>3</v>
      </c>
      <c r="D9" s="4">
        <v>8510</v>
      </c>
      <c r="E9" s="4"/>
      <c r="F9" s="36"/>
      <c r="G9" s="41"/>
      <c r="H9" s="40">
        <f t="shared" si="0"/>
        <v>0.616703856355028</v>
      </c>
      <c r="I9" s="36">
        <f t="shared" si="1"/>
        <v>0.6158030935255094</v>
      </c>
      <c r="J9" s="36">
        <f t="shared" si="2"/>
        <v>-5977.153846153847</v>
      </c>
      <c r="K9" s="8">
        <f t="shared" si="3"/>
        <v>-6063.692307692308</v>
      </c>
      <c r="L9" s="31">
        <f t="shared" si="4"/>
        <v>13819.352467490447</v>
      </c>
      <c r="M9" s="17">
        <f t="shared" si="5"/>
        <v>14573.692307692309</v>
      </c>
      <c r="N9" s="4">
        <f t="shared" si="6"/>
        <v>13292.24</v>
      </c>
      <c r="O9" s="4">
        <f t="shared" si="6"/>
        <v>13299.54</v>
      </c>
      <c r="P9" s="4">
        <f t="shared" si="7"/>
        <v>8185.402511883517</v>
      </c>
      <c r="Q9" s="4">
        <f t="shared" si="8"/>
        <v>7235.847692307693</v>
      </c>
      <c r="R9" s="4">
        <f t="shared" si="9"/>
        <v>324.59748811648296</v>
      </c>
      <c r="S9" s="4">
        <f t="shared" si="10"/>
        <v>1274.1523076923067</v>
      </c>
      <c r="T9" s="4">
        <f t="shared" si="11"/>
        <v>105363.5292915303</v>
      </c>
      <c r="U9" s="46">
        <f t="shared" si="12"/>
        <v>1623464.1031976307</v>
      </c>
    </row>
    <row r="10" spans="2:21" ht="12.75">
      <c r="B10" s="5">
        <v>4</v>
      </c>
      <c r="C10" s="5">
        <v>4</v>
      </c>
      <c r="D10" s="4">
        <v>12003</v>
      </c>
      <c r="E10" s="4"/>
      <c r="F10" s="36"/>
      <c r="G10" s="41"/>
      <c r="H10" s="40">
        <f t="shared" si="0"/>
        <v>0.9197817252642762</v>
      </c>
      <c r="I10" s="36">
        <f t="shared" si="1"/>
        <v>0.9184382843552388</v>
      </c>
      <c r="J10" s="36">
        <f t="shared" si="2"/>
        <v>-1245.461538461539</v>
      </c>
      <c r="K10" s="8">
        <f t="shared" si="3"/>
        <v>-1332.0000000000002</v>
      </c>
      <c r="L10" s="31">
        <f t="shared" si="4"/>
        <v>13068.923850911044</v>
      </c>
      <c r="M10" s="17">
        <f t="shared" si="5"/>
        <v>13335</v>
      </c>
      <c r="N10" s="4">
        <f t="shared" si="6"/>
        <v>13397.32</v>
      </c>
      <c r="O10" s="4">
        <f t="shared" si="6"/>
        <v>13404.72</v>
      </c>
      <c r="P10" s="4">
        <f t="shared" si="7"/>
        <v>12304.611595758128</v>
      </c>
      <c r="Q10" s="4">
        <f t="shared" si="8"/>
        <v>12072.72</v>
      </c>
      <c r="R10" s="4">
        <f t="shared" si="9"/>
        <v>301.6115957581278</v>
      </c>
      <c r="S10" s="4">
        <f t="shared" si="10"/>
        <v>69.71999999999935</v>
      </c>
      <c r="T10" s="4">
        <f t="shared" si="11"/>
        <v>90969.5546957643</v>
      </c>
      <c r="U10" s="46">
        <f t="shared" si="12"/>
        <v>4860.878399999909</v>
      </c>
    </row>
    <row r="11" spans="2:21" ht="12.75">
      <c r="B11" s="5">
        <v>5</v>
      </c>
      <c r="C11" s="5">
        <v>5</v>
      </c>
      <c r="D11" s="4">
        <v>16728</v>
      </c>
      <c r="E11" s="4"/>
      <c r="F11" s="36"/>
      <c r="G11" s="41"/>
      <c r="H11" s="40">
        <f t="shared" si="0"/>
        <v>1.2939454060947444</v>
      </c>
      <c r="I11" s="36">
        <f t="shared" si="1"/>
        <v>1.2920554585725654</v>
      </c>
      <c r="J11" s="36">
        <f t="shared" si="2"/>
        <v>4583.076923076924</v>
      </c>
      <c r="K11" s="8">
        <f t="shared" si="3"/>
        <v>4496.538461538463</v>
      </c>
      <c r="L11" s="31">
        <f t="shared" si="4"/>
        <v>12946.812684403445</v>
      </c>
      <c r="M11" s="17">
        <f t="shared" si="5"/>
        <v>12231.461538461537</v>
      </c>
      <c r="N11" s="4">
        <f t="shared" si="6"/>
        <v>13502.4</v>
      </c>
      <c r="O11" s="4">
        <f t="shared" si="6"/>
        <v>13509.9</v>
      </c>
      <c r="P11" s="4">
        <f t="shared" si="7"/>
        <v>17445.849623830207</v>
      </c>
      <c r="Q11" s="4">
        <f t="shared" si="8"/>
        <v>18006.438461538462</v>
      </c>
      <c r="R11" s="4">
        <f t="shared" si="9"/>
        <v>717.8496238302068</v>
      </c>
      <c r="S11" s="4">
        <f t="shared" si="10"/>
        <v>1278.4384615384624</v>
      </c>
      <c r="T11" s="4">
        <f t="shared" si="11"/>
        <v>515308.0824331695</v>
      </c>
      <c r="U11" s="46">
        <f t="shared" si="12"/>
        <v>1634404.8999408307</v>
      </c>
    </row>
    <row r="12" spans="2:21" ht="12.75">
      <c r="B12" s="5">
        <v>6</v>
      </c>
      <c r="C12" s="5">
        <v>6</v>
      </c>
      <c r="D12" s="4">
        <v>16355</v>
      </c>
      <c r="E12" s="4"/>
      <c r="F12" s="36"/>
      <c r="G12" s="41"/>
      <c r="H12" s="40">
        <f t="shared" si="0"/>
        <v>1.1654003235863293</v>
      </c>
      <c r="I12" s="36">
        <f t="shared" si="1"/>
        <v>1.1636981300907352</v>
      </c>
      <c r="J12" s="36">
        <f t="shared" si="2"/>
        <v>2682.461538461538</v>
      </c>
      <c r="K12" s="8">
        <f t="shared" si="3"/>
        <v>2595.9230769230767</v>
      </c>
      <c r="L12" s="31">
        <f t="shared" si="4"/>
        <v>14054.33211336756</v>
      </c>
      <c r="M12" s="17">
        <f t="shared" si="5"/>
        <v>13759.076923076924</v>
      </c>
      <c r="N12" s="4">
        <f t="shared" si="6"/>
        <v>13607.48</v>
      </c>
      <c r="O12" s="4">
        <f t="shared" si="6"/>
        <v>13615.08</v>
      </c>
      <c r="P12" s="4">
        <f t="shared" si="7"/>
        <v>15834.999031247076</v>
      </c>
      <c r="Q12" s="4">
        <f t="shared" si="8"/>
        <v>16211.003076923076</v>
      </c>
      <c r="R12" s="4">
        <f t="shared" si="9"/>
        <v>520.0009687529237</v>
      </c>
      <c r="S12" s="4">
        <f t="shared" si="10"/>
        <v>143.99692307692385</v>
      </c>
      <c r="T12" s="4">
        <f t="shared" si="11"/>
        <v>270401.0075039791</v>
      </c>
      <c r="U12" s="46">
        <f t="shared" si="12"/>
        <v>20735.113855621523</v>
      </c>
    </row>
    <row r="13" spans="2:21" ht="12.75">
      <c r="B13" s="5">
        <v>7</v>
      </c>
      <c r="C13" s="5">
        <v>7</v>
      </c>
      <c r="D13" s="4">
        <v>24384</v>
      </c>
      <c r="E13" s="4">
        <f aca="true" t="shared" si="13" ref="E13:E39">AVERAGE(D7:D19)</f>
        <v>13700.692307692309</v>
      </c>
      <c r="F13" s="36">
        <f aca="true" t="shared" si="14" ref="F13:F39">D13/E13</f>
        <v>1.7797640770539387</v>
      </c>
      <c r="G13" s="41">
        <f aca="true" t="shared" si="15" ref="G13:G39">D13-E13</f>
        <v>10683.307692307691</v>
      </c>
      <c r="H13" s="40">
        <f>AVERAGE(F13,F26,F39)</f>
        <v>1.7356667852003487</v>
      </c>
      <c r="I13" s="36">
        <f t="shared" si="1"/>
        <v>1.733131655723814</v>
      </c>
      <c r="J13" s="36">
        <f t="shared" si="2"/>
        <v>11306.038461538461</v>
      </c>
      <c r="K13" s="8">
        <f t="shared" si="3"/>
        <v>11219.5</v>
      </c>
      <c r="L13" s="31">
        <f t="shared" si="4"/>
        <v>14069.329308866858</v>
      </c>
      <c r="M13" s="17">
        <f t="shared" si="5"/>
        <v>13164.5</v>
      </c>
      <c r="N13" s="4">
        <f t="shared" si="6"/>
        <v>13712.56</v>
      </c>
      <c r="O13" s="4">
        <f t="shared" si="6"/>
        <v>13720.26</v>
      </c>
      <c r="P13" s="4">
        <f t="shared" si="7"/>
        <v>23765.671817012142</v>
      </c>
      <c r="Q13" s="4">
        <f t="shared" si="8"/>
        <v>24939.760000000002</v>
      </c>
      <c r="R13" s="4">
        <f t="shared" si="9"/>
        <v>618.3281829878579</v>
      </c>
      <c r="S13" s="4">
        <f t="shared" si="10"/>
        <v>555.760000000002</v>
      </c>
      <c r="T13" s="4">
        <f t="shared" si="11"/>
        <v>382329.74187706586</v>
      </c>
      <c r="U13" s="46">
        <f t="shared" si="12"/>
        <v>308869.17760000227</v>
      </c>
    </row>
    <row r="14" spans="2:21" ht="12.75">
      <c r="B14" s="5">
        <v>8</v>
      </c>
      <c r="C14" s="5">
        <v>8</v>
      </c>
      <c r="D14" s="4">
        <v>25480</v>
      </c>
      <c r="E14" s="4">
        <f t="shared" si="13"/>
        <v>13676.23076923077</v>
      </c>
      <c r="F14" s="36">
        <f t="shared" si="14"/>
        <v>1.8630864329465495</v>
      </c>
      <c r="G14" s="41">
        <f t="shared" si="15"/>
        <v>11803.76923076923</v>
      </c>
      <c r="H14" s="40">
        <f aca="true" t="shared" si="16" ref="H14:H19">AVERAGE(F14,F27)</f>
        <v>1.8889947360250816</v>
      </c>
      <c r="I14" s="36">
        <f t="shared" si="1"/>
        <v>1.8862356544564594</v>
      </c>
      <c r="J14" s="36">
        <f t="shared" si="2"/>
        <v>13667.384615384615</v>
      </c>
      <c r="K14" s="8">
        <f t="shared" si="3"/>
        <v>13580.846153846154</v>
      </c>
      <c r="L14" s="31">
        <f t="shared" si="4"/>
        <v>13508.386367207313</v>
      </c>
      <c r="M14" s="17">
        <f t="shared" si="5"/>
        <v>11899.153846153846</v>
      </c>
      <c r="N14" s="4">
        <f t="shared" si="6"/>
        <v>13817.64</v>
      </c>
      <c r="O14" s="4">
        <f t="shared" si="6"/>
        <v>13825.44</v>
      </c>
      <c r="P14" s="4">
        <f t="shared" si="7"/>
        <v>26063.32522844375</v>
      </c>
      <c r="Q14" s="4">
        <f t="shared" si="8"/>
        <v>27406.286153846155</v>
      </c>
      <c r="R14" s="4">
        <f t="shared" si="9"/>
        <v>583.3252284437513</v>
      </c>
      <c r="S14" s="4">
        <f t="shared" si="10"/>
        <v>1926.2861538461548</v>
      </c>
      <c r="T14" s="4">
        <f t="shared" si="11"/>
        <v>340268.3221389546</v>
      </c>
      <c r="U14" s="46">
        <f t="shared" si="12"/>
        <v>3710578.346499412</v>
      </c>
    </row>
    <row r="15" spans="2:21" ht="12.75">
      <c r="B15" s="5">
        <v>9</v>
      </c>
      <c r="C15" s="5">
        <v>9</v>
      </c>
      <c r="D15" s="4">
        <v>16822</v>
      </c>
      <c r="E15" s="4">
        <f t="shared" si="13"/>
        <v>13724.307692307691</v>
      </c>
      <c r="F15" s="36">
        <f t="shared" si="14"/>
        <v>1.2257084566406602</v>
      </c>
      <c r="G15" s="41">
        <f t="shared" si="15"/>
        <v>3097.6923076923085</v>
      </c>
      <c r="H15" s="40">
        <f t="shared" si="16"/>
        <v>1.2278828606282273</v>
      </c>
      <c r="I15" s="36">
        <f t="shared" si="1"/>
        <v>1.2260894046145194</v>
      </c>
      <c r="J15" s="36">
        <f t="shared" si="2"/>
        <v>3455</v>
      </c>
      <c r="K15" s="8">
        <f t="shared" si="3"/>
        <v>3368.4615384615386</v>
      </c>
      <c r="L15" s="31">
        <f t="shared" si="4"/>
        <v>13720.04352756707</v>
      </c>
      <c r="M15" s="17">
        <f t="shared" si="5"/>
        <v>13453.538461538461</v>
      </c>
      <c r="N15" s="4">
        <f t="shared" si="6"/>
        <v>13922.72</v>
      </c>
      <c r="O15" s="4">
        <f t="shared" si="6"/>
        <v>13930.62</v>
      </c>
      <c r="P15" s="4">
        <f t="shared" si="7"/>
        <v>17070.49947541466</v>
      </c>
      <c r="Q15" s="4">
        <f t="shared" si="8"/>
        <v>17299.081538461538</v>
      </c>
      <c r="R15" s="4">
        <f t="shared" si="9"/>
        <v>248.499475414661</v>
      </c>
      <c r="S15" s="4">
        <f t="shared" si="10"/>
        <v>477.081538461538</v>
      </c>
      <c r="T15" s="4">
        <f t="shared" si="11"/>
        <v>61751.989281361704</v>
      </c>
      <c r="U15" s="46">
        <f t="shared" si="12"/>
        <v>227606.79434082797</v>
      </c>
    </row>
    <row r="16" spans="2:21" ht="12.75">
      <c r="B16" s="5">
        <v>10</v>
      </c>
      <c r="C16" s="5">
        <v>10</v>
      </c>
      <c r="D16" s="4">
        <v>11112</v>
      </c>
      <c r="E16" s="4">
        <f t="shared" si="13"/>
        <v>13799.692307692309</v>
      </c>
      <c r="F16" s="36">
        <f t="shared" si="14"/>
        <v>0.8052353452696827</v>
      </c>
      <c r="G16" s="41">
        <f t="shared" si="15"/>
        <v>-2687.6923076923085</v>
      </c>
      <c r="H16" s="40">
        <f t="shared" si="16"/>
        <v>0.8103364120729757</v>
      </c>
      <c r="I16" s="36">
        <f t="shared" si="1"/>
        <v>0.8091528279071253</v>
      </c>
      <c r="J16" s="36">
        <f t="shared" si="2"/>
        <v>-2772.3846153846152</v>
      </c>
      <c r="K16" s="8">
        <f t="shared" si="3"/>
        <v>-2858.9230769230767</v>
      </c>
      <c r="L16" s="31">
        <f t="shared" si="4"/>
        <v>13732.881622302675</v>
      </c>
      <c r="M16" s="17">
        <f t="shared" si="5"/>
        <v>13970.923076923076</v>
      </c>
      <c r="N16" s="4">
        <f t="shared" si="6"/>
        <v>14027.8</v>
      </c>
      <c r="O16" s="4">
        <f t="shared" si="6"/>
        <v>14035.8</v>
      </c>
      <c r="P16" s="4">
        <f t="shared" si="7"/>
        <v>11350.634039315571</v>
      </c>
      <c r="Q16" s="4">
        <f t="shared" si="8"/>
        <v>11176.876923076923</v>
      </c>
      <c r="R16" s="4">
        <f t="shared" si="9"/>
        <v>238.6340393155715</v>
      </c>
      <c r="S16" s="4">
        <f t="shared" si="10"/>
        <v>64.87692307692305</v>
      </c>
      <c r="T16" s="4">
        <f t="shared" si="11"/>
        <v>56946.204720065725</v>
      </c>
      <c r="U16" s="46">
        <f t="shared" si="12"/>
        <v>4209.015147928991</v>
      </c>
    </row>
    <row r="17" spans="2:21" ht="12.75">
      <c r="B17" s="5">
        <v>11</v>
      </c>
      <c r="C17" s="5">
        <v>11</v>
      </c>
      <c r="D17" s="4">
        <v>7971</v>
      </c>
      <c r="E17" s="4">
        <f t="shared" si="13"/>
        <v>13902.615384615385</v>
      </c>
      <c r="F17" s="36">
        <f t="shared" si="14"/>
        <v>0.5733453583719721</v>
      </c>
      <c r="G17" s="41">
        <f t="shared" si="15"/>
        <v>-5931.615384615385</v>
      </c>
      <c r="H17" s="40">
        <f t="shared" si="16"/>
        <v>0.5970156710484851</v>
      </c>
      <c r="I17" s="36">
        <f t="shared" si="1"/>
        <v>0.596143664947698</v>
      </c>
      <c r="J17" s="36">
        <f t="shared" si="2"/>
        <v>-5754.923076923076</v>
      </c>
      <c r="K17" s="8">
        <f t="shared" si="3"/>
        <v>-5841.461538461537</v>
      </c>
      <c r="L17" s="31">
        <f t="shared" si="4"/>
        <v>13370.938028334709</v>
      </c>
      <c r="M17" s="17">
        <f t="shared" si="5"/>
        <v>13812.461538461537</v>
      </c>
      <c r="N17" s="4">
        <f t="shared" si="6"/>
        <v>14132.88</v>
      </c>
      <c r="O17" s="4">
        <f t="shared" si="6"/>
        <v>14140.98</v>
      </c>
      <c r="P17" s="4">
        <f t="shared" si="7"/>
        <v>8425.226879466021</v>
      </c>
      <c r="Q17" s="4">
        <f t="shared" si="8"/>
        <v>8299.518461538462</v>
      </c>
      <c r="R17" s="4">
        <f t="shared" si="9"/>
        <v>454.2268794660213</v>
      </c>
      <c r="S17" s="4">
        <f t="shared" si="10"/>
        <v>328.51846153846236</v>
      </c>
      <c r="T17" s="4">
        <f t="shared" si="11"/>
        <v>206322.05802943942</v>
      </c>
      <c r="U17" s="46">
        <f t="shared" si="12"/>
        <v>107924.37957159817</v>
      </c>
    </row>
    <row r="18" spans="2:21" ht="12.75">
      <c r="B18" s="5">
        <v>12</v>
      </c>
      <c r="C18" s="5">
        <v>12</v>
      </c>
      <c r="D18" s="4">
        <v>9584</v>
      </c>
      <c r="E18" s="4">
        <f t="shared" si="13"/>
        <v>14096.23076923077</v>
      </c>
      <c r="F18" s="36">
        <f t="shared" si="14"/>
        <v>0.6798980633120693</v>
      </c>
      <c r="G18" s="41">
        <f t="shared" si="15"/>
        <v>-4512.2307692307695</v>
      </c>
      <c r="H18" s="40">
        <f t="shared" si="16"/>
        <v>0.6782317169555557</v>
      </c>
      <c r="I18" s="36">
        <f t="shared" si="1"/>
        <v>0.6772410860163479</v>
      </c>
      <c r="J18" s="36">
        <f t="shared" si="2"/>
        <v>-4956.461538461539</v>
      </c>
      <c r="K18" s="8">
        <f t="shared" si="3"/>
        <v>-5043</v>
      </c>
      <c r="L18" s="31">
        <f t="shared" si="4"/>
        <v>14151.533623535433</v>
      </c>
      <c r="M18" s="17">
        <f t="shared" si="5"/>
        <v>14627</v>
      </c>
      <c r="N18" s="4">
        <f t="shared" si="6"/>
        <v>14237.96</v>
      </c>
      <c r="O18" s="4">
        <f t="shared" si="6"/>
        <v>14246.16</v>
      </c>
      <c r="P18" s="4">
        <f t="shared" si="7"/>
        <v>9642.53149305732</v>
      </c>
      <c r="Q18" s="4">
        <f t="shared" si="8"/>
        <v>9203.16</v>
      </c>
      <c r="R18" s="4">
        <f t="shared" si="9"/>
        <v>58.531493057320404</v>
      </c>
      <c r="S18" s="4">
        <f t="shared" si="10"/>
        <v>380.84000000000015</v>
      </c>
      <c r="T18" s="4">
        <f t="shared" si="11"/>
        <v>3425.9356795191466</v>
      </c>
      <c r="U18" s="46">
        <f t="shared" si="12"/>
        <v>145039.1056000001</v>
      </c>
    </row>
    <row r="19" spans="2:21" ht="12.75">
      <c r="B19" s="5">
        <v>13</v>
      </c>
      <c r="C19" s="5">
        <v>13</v>
      </c>
      <c r="D19" s="4">
        <v>13601</v>
      </c>
      <c r="E19" s="4">
        <f t="shared" si="13"/>
        <v>14071.461538461539</v>
      </c>
      <c r="F19" s="36">
        <f t="shared" si="14"/>
        <v>0.9665662634136741</v>
      </c>
      <c r="G19" s="41">
        <f t="shared" si="15"/>
        <v>-470.461538461539</v>
      </c>
      <c r="H19" s="21">
        <f t="shared" si="16"/>
        <v>0.9707002918182053</v>
      </c>
      <c r="I19" s="43">
        <f t="shared" si="1"/>
        <v>0.9692824788234229</v>
      </c>
      <c r="J19" s="43">
        <f t="shared" si="2"/>
        <v>-394.9230769230762</v>
      </c>
      <c r="K19" s="6">
        <f t="shared" si="3"/>
        <v>-481.4615384615375</v>
      </c>
      <c r="L19" s="31">
        <f t="shared" si="4"/>
        <v>14032.029152646775</v>
      </c>
      <c r="M19" s="17">
        <f t="shared" si="5"/>
        <v>14082.461538461537</v>
      </c>
      <c r="N19" s="4">
        <f t="shared" si="6"/>
        <v>14343.04</v>
      </c>
      <c r="O19" s="4">
        <f t="shared" si="6"/>
        <v>14351.34</v>
      </c>
      <c r="P19" s="4">
        <f t="shared" si="7"/>
        <v>13902.457365063508</v>
      </c>
      <c r="Q19" s="4">
        <f t="shared" si="8"/>
        <v>13869.878461538463</v>
      </c>
      <c r="R19" s="4">
        <f t="shared" si="9"/>
        <v>301.4573650635084</v>
      </c>
      <c r="S19" s="4">
        <f t="shared" si="10"/>
        <v>268.87846153846294</v>
      </c>
      <c r="T19" s="4">
        <f t="shared" si="11"/>
        <v>90876.54295103338</v>
      </c>
      <c r="U19" s="46">
        <f t="shared" si="12"/>
        <v>72295.6270792907</v>
      </c>
    </row>
    <row r="20" spans="2:21" ht="12.75">
      <c r="B20" s="5">
        <v>1</v>
      </c>
      <c r="C20" s="5">
        <v>14</v>
      </c>
      <c r="D20" s="4">
        <v>8406</v>
      </c>
      <c r="E20" s="4">
        <f t="shared" si="13"/>
        <v>14098.615384615385</v>
      </c>
      <c r="F20" s="36">
        <f t="shared" si="14"/>
        <v>0.596228762235244</v>
      </c>
      <c r="G20" s="36">
        <f t="shared" si="15"/>
        <v>-5692.615384615385</v>
      </c>
      <c r="H20" s="28"/>
      <c r="I20" s="28"/>
      <c r="J20" s="28"/>
      <c r="K20" s="28"/>
      <c r="L20" s="17">
        <f aca="true" t="shared" si="17" ref="L20:L32">D20/I7</f>
        <v>14183.759264821074</v>
      </c>
      <c r="M20" s="17">
        <f aca="true" t="shared" si="18" ref="M20:M32">D20-K7</f>
        <v>14623.538461538461</v>
      </c>
      <c r="N20" s="4">
        <f t="shared" si="6"/>
        <v>14448.119999999999</v>
      </c>
      <c r="O20" s="4">
        <f t="shared" si="6"/>
        <v>14456.52</v>
      </c>
      <c r="P20" s="4">
        <f aca="true" t="shared" si="19" ref="P20:P32">O20*I7</f>
        <v>8567.651554930208</v>
      </c>
      <c r="Q20" s="4">
        <f aca="true" t="shared" si="20" ref="Q20:Q32">O20+K7</f>
        <v>8238.98153846154</v>
      </c>
      <c r="R20" s="4">
        <f t="shared" si="9"/>
        <v>161.65155493020757</v>
      </c>
      <c r="S20" s="4">
        <f t="shared" si="10"/>
        <v>167.01846153846054</v>
      </c>
      <c r="T20" s="4">
        <f t="shared" si="11"/>
        <v>26131.225211353914</v>
      </c>
      <c r="U20" s="46">
        <f t="shared" si="12"/>
        <v>27895.166494674224</v>
      </c>
    </row>
    <row r="21" spans="2:21" ht="12.75">
      <c r="B21" s="5">
        <v>2</v>
      </c>
      <c r="C21" s="5">
        <v>15</v>
      </c>
      <c r="D21" s="4">
        <v>7460</v>
      </c>
      <c r="E21" s="4">
        <f t="shared" si="13"/>
        <v>14339.076923076924</v>
      </c>
      <c r="F21" s="36">
        <f t="shared" si="14"/>
        <v>0.5202566413458649</v>
      </c>
      <c r="G21" s="36">
        <f t="shared" si="15"/>
        <v>-6879.076923076924</v>
      </c>
      <c r="H21" s="36"/>
      <c r="I21" s="36"/>
      <c r="J21" s="36"/>
      <c r="K21" s="36"/>
      <c r="L21" s="17">
        <f t="shared" si="17"/>
        <v>14343.985465124344</v>
      </c>
      <c r="M21" s="17">
        <f t="shared" si="18"/>
        <v>14883.192307692309</v>
      </c>
      <c r="N21" s="4">
        <f t="shared" si="6"/>
        <v>14553.2</v>
      </c>
      <c r="O21" s="4">
        <f t="shared" si="6"/>
        <v>14561.7</v>
      </c>
      <c r="P21" s="4">
        <f t="shared" si="19"/>
        <v>7573.228672332479</v>
      </c>
      <c r="Q21" s="4">
        <f t="shared" si="20"/>
        <v>7138.507692307693</v>
      </c>
      <c r="R21" s="4">
        <f t="shared" si="9"/>
        <v>113.22867233247871</v>
      </c>
      <c r="S21" s="4">
        <f t="shared" si="10"/>
        <v>321.4923076923069</v>
      </c>
      <c r="T21" s="4">
        <f t="shared" si="11"/>
        <v>12820.73223817583</v>
      </c>
      <c r="U21" s="46">
        <f t="shared" si="12"/>
        <v>103357.30390532494</v>
      </c>
    </row>
    <row r="22" spans="2:21" ht="12.75">
      <c r="B22" s="5">
        <v>3</v>
      </c>
      <c r="C22" s="5">
        <v>16</v>
      </c>
      <c r="D22" s="4">
        <v>9490</v>
      </c>
      <c r="E22" s="4">
        <f t="shared" si="13"/>
        <v>14466.076923076924</v>
      </c>
      <c r="F22" s="36">
        <f t="shared" si="14"/>
        <v>0.6560175264145827</v>
      </c>
      <c r="G22" s="36">
        <f t="shared" si="15"/>
        <v>-4976.076923076924</v>
      </c>
      <c r="H22" s="36"/>
      <c r="I22" s="36"/>
      <c r="J22" s="36"/>
      <c r="K22" s="36"/>
      <c r="L22" s="17">
        <f t="shared" si="17"/>
        <v>15410.770260456446</v>
      </c>
      <c r="M22" s="17">
        <f t="shared" si="18"/>
        <v>15553.692307692309</v>
      </c>
      <c r="N22" s="4">
        <f t="shared" si="6"/>
        <v>14658.28</v>
      </c>
      <c r="O22" s="4">
        <f t="shared" si="6"/>
        <v>14666.880000000001</v>
      </c>
      <c r="P22" s="4">
        <f t="shared" si="19"/>
        <v>9031.910076367425</v>
      </c>
      <c r="Q22" s="4">
        <f t="shared" si="20"/>
        <v>8603.187692307692</v>
      </c>
      <c r="R22" s="4">
        <f t="shared" si="9"/>
        <v>458.08992363257494</v>
      </c>
      <c r="S22" s="4">
        <f t="shared" si="10"/>
        <v>886.8123076923075</v>
      </c>
      <c r="T22" s="4">
        <f t="shared" si="11"/>
        <v>209846.37813369834</v>
      </c>
      <c r="U22" s="46">
        <f t="shared" si="12"/>
        <v>786436.0690745559</v>
      </c>
    </row>
    <row r="23" spans="2:21" ht="12.75">
      <c r="B23" s="5">
        <v>4</v>
      </c>
      <c r="C23" s="5">
        <v>17</v>
      </c>
      <c r="D23" s="4">
        <v>13341</v>
      </c>
      <c r="E23" s="4">
        <f t="shared" si="13"/>
        <v>14553.538461538461</v>
      </c>
      <c r="F23" s="36">
        <f t="shared" si="14"/>
        <v>0.9166842850800229</v>
      </c>
      <c r="G23" s="36">
        <f t="shared" si="15"/>
        <v>-1212.538461538461</v>
      </c>
      <c r="H23" s="36"/>
      <c r="I23" s="36"/>
      <c r="J23" s="36"/>
      <c r="K23" s="36"/>
      <c r="L23" s="17">
        <f t="shared" si="17"/>
        <v>14525.744655086582</v>
      </c>
      <c r="M23" s="17">
        <f t="shared" si="18"/>
        <v>14673</v>
      </c>
      <c r="N23" s="4">
        <f t="shared" si="6"/>
        <v>14763.36</v>
      </c>
      <c r="O23" s="4">
        <f t="shared" si="6"/>
        <v>14772.06</v>
      </c>
      <c r="P23" s="4">
        <f t="shared" si="19"/>
        <v>13567.225442792647</v>
      </c>
      <c r="Q23" s="4">
        <f t="shared" si="20"/>
        <v>13440.06</v>
      </c>
      <c r="R23" s="4">
        <f t="shared" si="9"/>
        <v>226.2254427926473</v>
      </c>
      <c r="S23" s="4">
        <f t="shared" si="10"/>
        <v>99.05999999999949</v>
      </c>
      <c r="T23" s="4">
        <f t="shared" si="11"/>
        <v>51177.95096672934</v>
      </c>
      <c r="U23" s="46">
        <f t="shared" si="12"/>
        <v>9812.8835999999</v>
      </c>
    </row>
    <row r="24" spans="2:21" ht="12.75">
      <c r="B24" s="5">
        <v>5</v>
      </c>
      <c r="C24" s="5">
        <v>18</v>
      </c>
      <c r="D24" s="4">
        <v>19245</v>
      </c>
      <c r="E24" s="4">
        <f t="shared" si="13"/>
        <v>14664.76923076923</v>
      </c>
      <c r="F24" s="36">
        <f t="shared" si="14"/>
        <v>1.3123288677206493</v>
      </c>
      <c r="G24" s="36">
        <f t="shared" si="15"/>
        <v>4580.2307692307695</v>
      </c>
      <c r="H24" s="36"/>
      <c r="I24" s="36"/>
      <c r="J24" s="36"/>
      <c r="K24" s="36"/>
      <c r="L24" s="17">
        <f t="shared" si="17"/>
        <v>14894.8714796356</v>
      </c>
      <c r="M24" s="17">
        <f t="shared" si="18"/>
        <v>14748.461538461537</v>
      </c>
      <c r="N24" s="4">
        <f t="shared" si="6"/>
        <v>14868.44</v>
      </c>
      <c r="O24" s="4">
        <f t="shared" si="6"/>
        <v>14877.24</v>
      </c>
      <c r="P24" s="4">
        <f t="shared" si="19"/>
        <v>19222.219150494115</v>
      </c>
      <c r="Q24" s="4">
        <f t="shared" si="20"/>
        <v>19373.778461538463</v>
      </c>
      <c r="R24" s="4">
        <f t="shared" si="9"/>
        <v>22.78084950588527</v>
      </c>
      <c r="S24" s="4">
        <f t="shared" si="10"/>
        <v>128.77846153846258</v>
      </c>
      <c r="T24" s="4">
        <f t="shared" si="11"/>
        <v>518.9671042097932</v>
      </c>
      <c r="U24" s="46">
        <f t="shared" si="12"/>
        <v>16583.892156213285</v>
      </c>
    </row>
    <row r="25" spans="2:21" ht="12.75">
      <c r="B25" s="5">
        <v>6</v>
      </c>
      <c r="C25" s="5">
        <v>19</v>
      </c>
      <c r="D25" s="4">
        <v>16033</v>
      </c>
      <c r="E25" s="4">
        <f t="shared" si="13"/>
        <v>14725.076923076924</v>
      </c>
      <c r="F25" s="36">
        <f t="shared" si="14"/>
        <v>1.0888228349336035</v>
      </c>
      <c r="G25" s="36">
        <f t="shared" si="15"/>
        <v>1307.9230769230762</v>
      </c>
      <c r="H25" s="36"/>
      <c r="I25" s="36"/>
      <c r="J25" s="36"/>
      <c r="K25" s="36"/>
      <c r="L25" s="17">
        <f t="shared" si="17"/>
        <v>13777.628050970474</v>
      </c>
      <c r="M25" s="17">
        <f t="shared" si="18"/>
        <v>13437.076923076924</v>
      </c>
      <c r="N25" s="4">
        <f t="shared" si="6"/>
        <v>14973.52</v>
      </c>
      <c r="O25" s="4">
        <f t="shared" si="6"/>
        <v>14982.42</v>
      </c>
      <c r="P25" s="4">
        <f t="shared" si="19"/>
        <v>17435.014138234033</v>
      </c>
      <c r="Q25" s="4">
        <f t="shared" si="20"/>
        <v>17578.343076923076</v>
      </c>
      <c r="R25" s="4">
        <f t="shared" si="9"/>
        <v>1402.0141382340335</v>
      </c>
      <c r="S25" s="4">
        <f t="shared" si="10"/>
        <v>1545.3430769230763</v>
      </c>
      <c r="T25" s="4">
        <f t="shared" si="11"/>
        <v>1965643.6438081195</v>
      </c>
      <c r="U25" s="46">
        <f t="shared" si="12"/>
        <v>2388085.225394081</v>
      </c>
    </row>
    <row r="26" spans="2:21" ht="12.75">
      <c r="B26" s="5">
        <v>7</v>
      </c>
      <c r="C26" s="5">
        <v>20</v>
      </c>
      <c r="D26" s="4">
        <v>24737</v>
      </c>
      <c r="E26" s="4">
        <f t="shared" si="13"/>
        <v>14855.615384615385</v>
      </c>
      <c r="F26" s="36">
        <f t="shared" si="14"/>
        <v>1.6651615809613562</v>
      </c>
      <c r="G26" s="36">
        <f t="shared" si="15"/>
        <v>9881.384615384615</v>
      </c>
      <c r="H26" s="36"/>
      <c r="I26" s="36"/>
      <c r="J26" s="36"/>
      <c r="K26" s="36"/>
      <c r="L26" s="17">
        <f t="shared" si="17"/>
        <v>14273.00685340549</v>
      </c>
      <c r="M26" s="17">
        <f t="shared" si="18"/>
        <v>13517.5</v>
      </c>
      <c r="N26" s="4">
        <f t="shared" si="6"/>
        <v>15078.6</v>
      </c>
      <c r="O26" s="4">
        <f t="shared" si="6"/>
        <v>15087.6</v>
      </c>
      <c r="P26" s="4">
        <f t="shared" si="19"/>
        <v>26148.797168898614</v>
      </c>
      <c r="Q26" s="4">
        <f t="shared" si="20"/>
        <v>26307.1</v>
      </c>
      <c r="R26" s="4">
        <f t="shared" si="9"/>
        <v>1411.7971688986145</v>
      </c>
      <c r="S26" s="4">
        <f t="shared" si="10"/>
        <v>1570.0999999999985</v>
      </c>
      <c r="T26" s="4">
        <f t="shared" si="11"/>
        <v>1993171.246110143</v>
      </c>
      <c r="U26" s="46">
        <f t="shared" si="12"/>
        <v>2465214.0099999956</v>
      </c>
    </row>
    <row r="27" spans="2:21" ht="12.75">
      <c r="B27" s="5">
        <v>8</v>
      </c>
      <c r="C27" s="5">
        <v>21</v>
      </c>
      <c r="D27" s="4">
        <v>28606</v>
      </c>
      <c r="E27" s="4">
        <f t="shared" si="13"/>
        <v>14938.615384615385</v>
      </c>
      <c r="F27" s="36">
        <f t="shared" si="14"/>
        <v>1.9149030391036137</v>
      </c>
      <c r="G27" s="36">
        <f t="shared" si="15"/>
        <v>13667.384615384615</v>
      </c>
      <c r="H27" s="36"/>
      <c r="I27" s="36"/>
      <c r="J27" s="36"/>
      <c r="K27" s="36"/>
      <c r="L27" s="17">
        <f t="shared" si="17"/>
        <v>15165.65543250912</v>
      </c>
      <c r="M27" s="17">
        <f t="shared" si="18"/>
        <v>15025.153846153846</v>
      </c>
      <c r="N27" s="4">
        <f aca="true" t="shared" si="21" ref="N27:O45">N$4*$C27+N$3</f>
        <v>15183.68</v>
      </c>
      <c r="O27" s="4">
        <f t="shared" si="21"/>
        <v>15192.78</v>
      </c>
      <c r="P27" s="4">
        <f t="shared" si="19"/>
        <v>28657.163326313006</v>
      </c>
      <c r="Q27" s="4">
        <f t="shared" si="20"/>
        <v>28773.626153846155</v>
      </c>
      <c r="R27" s="4">
        <f t="shared" si="9"/>
        <v>51.16332631300611</v>
      </c>
      <c r="S27" s="4">
        <f t="shared" si="10"/>
        <v>167.62615384615492</v>
      </c>
      <c r="T27" s="4">
        <f t="shared" si="11"/>
        <v>2617.6859594111434</v>
      </c>
      <c r="U27" s="46">
        <f t="shared" si="12"/>
        <v>28098.5274532548</v>
      </c>
    </row>
    <row r="28" spans="2:21" ht="12.75">
      <c r="B28" s="5">
        <v>9</v>
      </c>
      <c r="C28" s="5">
        <v>22</v>
      </c>
      <c r="D28" s="4">
        <v>18473</v>
      </c>
      <c r="E28" s="4">
        <f t="shared" si="13"/>
        <v>15018</v>
      </c>
      <c r="F28" s="36">
        <f t="shared" si="14"/>
        <v>1.2300572646157943</v>
      </c>
      <c r="G28" s="36">
        <f t="shared" si="15"/>
        <v>3455</v>
      </c>
      <c r="H28" s="36"/>
      <c r="I28" s="36"/>
      <c r="J28" s="36"/>
      <c r="K28" s="36"/>
      <c r="L28" s="17">
        <f t="shared" si="17"/>
        <v>15066.601122621953</v>
      </c>
      <c r="M28" s="17">
        <f t="shared" si="18"/>
        <v>15104.538461538461</v>
      </c>
      <c r="N28" s="4">
        <f t="shared" si="21"/>
        <v>15288.76</v>
      </c>
      <c r="O28" s="4">
        <f t="shared" si="21"/>
        <v>15297.96</v>
      </c>
      <c r="P28" s="4">
        <f t="shared" si="19"/>
        <v>18756.666668216734</v>
      </c>
      <c r="Q28" s="4">
        <f t="shared" si="20"/>
        <v>18666.421538461538</v>
      </c>
      <c r="R28" s="4">
        <f t="shared" si="9"/>
        <v>283.66666821673425</v>
      </c>
      <c r="S28" s="4">
        <f t="shared" si="10"/>
        <v>193.42153846153815</v>
      </c>
      <c r="T28" s="4">
        <f t="shared" si="11"/>
        <v>80466.77865718279</v>
      </c>
      <c r="U28" s="46">
        <f t="shared" si="12"/>
        <v>37411.891540828285</v>
      </c>
    </row>
    <row r="29" spans="2:21" ht="12.75">
      <c r="B29" s="5">
        <v>10</v>
      </c>
      <c r="C29" s="5">
        <v>23</v>
      </c>
      <c r="D29" s="4">
        <v>12249</v>
      </c>
      <c r="E29" s="4">
        <f t="shared" si="13"/>
        <v>15021.384615384615</v>
      </c>
      <c r="F29" s="36">
        <f t="shared" si="14"/>
        <v>0.8154374788762687</v>
      </c>
      <c r="G29" s="36">
        <f t="shared" si="15"/>
        <v>-2772.3846153846152</v>
      </c>
      <c r="H29" s="36"/>
      <c r="I29" s="36"/>
      <c r="J29" s="36"/>
      <c r="K29" s="36"/>
      <c r="L29" s="17">
        <f t="shared" si="17"/>
        <v>15138.054984843904</v>
      </c>
      <c r="M29" s="17">
        <f t="shared" si="18"/>
        <v>15107.923076923076</v>
      </c>
      <c r="N29" s="4">
        <f t="shared" si="21"/>
        <v>15393.84</v>
      </c>
      <c r="O29" s="4">
        <f t="shared" si="21"/>
        <v>15403.14</v>
      </c>
      <c r="P29" s="4">
        <f t="shared" si="19"/>
        <v>12463.494289649358</v>
      </c>
      <c r="Q29" s="4">
        <f t="shared" si="20"/>
        <v>12544.216923076923</v>
      </c>
      <c r="R29" s="4">
        <f t="shared" si="9"/>
        <v>214.4942896493576</v>
      </c>
      <c r="S29" s="4">
        <f t="shared" si="10"/>
        <v>295.2169230769232</v>
      </c>
      <c r="T29" s="4">
        <f t="shared" si="11"/>
        <v>46007.80029218252</v>
      </c>
      <c r="U29" s="46">
        <f t="shared" si="12"/>
        <v>87153.03167100599</v>
      </c>
    </row>
    <row r="30" spans="2:21" ht="12.75">
      <c r="B30" s="5">
        <v>11</v>
      </c>
      <c r="C30" s="5">
        <v>24</v>
      </c>
      <c r="D30" s="4">
        <v>9417</v>
      </c>
      <c r="E30" s="4">
        <f t="shared" si="13"/>
        <v>15171.923076923076</v>
      </c>
      <c r="F30" s="36">
        <f t="shared" si="14"/>
        <v>0.6206859837249982</v>
      </c>
      <c r="G30" s="36">
        <f t="shared" si="15"/>
        <v>-5754.923076923076</v>
      </c>
      <c r="H30" s="36"/>
      <c r="I30" s="36"/>
      <c r="J30" s="36"/>
      <c r="K30" s="36"/>
      <c r="L30" s="17">
        <f t="shared" si="17"/>
        <v>15796.527840023578</v>
      </c>
      <c r="M30" s="17">
        <f t="shared" si="18"/>
        <v>15258.461538461537</v>
      </c>
      <c r="N30" s="4">
        <f t="shared" si="21"/>
        <v>15498.92</v>
      </c>
      <c r="O30" s="4">
        <f t="shared" si="21"/>
        <v>15508.32</v>
      </c>
      <c r="P30" s="4">
        <f t="shared" si="19"/>
        <v>9245.186721981683</v>
      </c>
      <c r="Q30" s="4">
        <f t="shared" si="20"/>
        <v>9666.858461538463</v>
      </c>
      <c r="R30" s="4">
        <f t="shared" si="9"/>
        <v>171.81327801831685</v>
      </c>
      <c r="S30" s="4">
        <f t="shared" si="10"/>
        <v>249.8584615384625</v>
      </c>
      <c r="T30" s="4">
        <f t="shared" si="11"/>
        <v>29519.80250339944</v>
      </c>
      <c r="U30" s="46">
        <f t="shared" si="12"/>
        <v>62429.25080236735</v>
      </c>
    </row>
    <row r="31" spans="2:21" ht="12.75">
      <c r="B31" s="5">
        <v>12</v>
      </c>
      <c r="C31" s="5">
        <v>25</v>
      </c>
      <c r="D31" s="4">
        <v>10368</v>
      </c>
      <c r="E31" s="4">
        <f t="shared" si="13"/>
        <v>15324.461538461539</v>
      </c>
      <c r="F31" s="36">
        <f t="shared" si="14"/>
        <v>0.6765653705990422</v>
      </c>
      <c r="G31" s="36">
        <f t="shared" si="15"/>
        <v>-4956.461538461539</v>
      </c>
      <c r="H31" s="36"/>
      <c r="I31" s="36"/>
      <c r="J31" s="36"/>
      <c r="K31" s="36"/>
      <c r="L31" s="17">
        <f t="shared" si="17"/>
        <v>15309.171599417297</v>
      </c>
      <c r="M31" s="17">
        <f t="shared" si="18"/>
        <v>15411</v>
      </c>
      <c r="N31" s="4">
        <f t="shared" si="21"/>
        <v>15604</v>
      </c>
      <c r="O31" s="4">
        <f t="shared" si="21"/>
        <v>15613.5</v>
      </c>
      <c r="P31" s="4">
        <f t="shared" si="19"/>
        <v>10574.103696516248</v>
      </c>
      <c r="Q31" s="4">
        <f t="shared" si="20"/>
        <v>10570.5</v>
      </c>
      <c r="R31" s="4">
        <f t="shared" si="9"/>
        <v>206.1036965162475</v>
      </c>
      <c r="S31" s="4">
        <f t="shared" si="10"/>
        <v>202.5</v>
      </c>
      <c r="T31" s="4">
        <f t="shared" si="11"/>
        <v>42478.73371766145</v>
      </c>
      <c r="U31" s="46">
        <f t="shared" si="12"/>
        <v>41006.25</v>
      </c>
    </row>
    <row r="32" spans="2:21" ht="12.75">
      <c r="B32" s="5">
        <v>13</v>
      </c>
      <c r="C32" s="5">
        <v>26</v>
      </c>
      <c r="D32" s="4">
        <v>15298</v>
      </c>
      <c r="E32" s="4">
        <f t="shared" si="13"/>
        <v>15692.923076923076</v>
      </c>
      <c r="F32" s="36">
        <f t="shared" si="14"/>
        <v>0.9748343202227364</v>
      </c>
      <c r="G32" s="36">
        <f t="shared" si="15"/>
        <v>-394.9230769230762</v>
      </c>
      <c r="H32" s="36"/>
      <c r="I32" s="36"/>
      <c r="J32" s="36"/>
      <c r="K32" s="36"/>
      <c r="L32" s="17">
        <f t="shared" si="17"/>
        <v>15782.80876238441</v>
      </c>
      <c r="M32" s="17">
        <f t="shared" si="18"/>
        <v>15779.461538461537</v>
      </c>
      <c r="N32" s="4">
        <f t="shared" si="21"/>
        <v>15709.08</v>
      </c>
      <c r="O32" s="4">
        <f t="shared" si="21"/>
        <v>15718.68</v>
      </c>
      <c r="P32" s="4">
        <f t="shared" si="19"/>
        <v>15235.841114232162</v>
      </c>
      <c r="Q32" s="4">
        <f t="shared" si="20"/>
        <v>15237.218461538463</v>
      </c>
      <c r="R32" s="4">
        <f t="shared" si="9"/>
        <v>62.158885767838</v>
      </c>
      <c r="S32" s="4">
        <f t="shared" si="10"/>
        <v>60.78153846153691</v>
      </c>
      <c r="T32" s="4">
        <f t="shared" si="11"/>
        <v>3863.7270798991335</v>
      </c>
      <c r="U32" s="46">
        <f t="shared" si="12"/>
        <v>3694.395417751291</v>
      </c>
    </row>
    <row r="33" spans="2:21" ht="12.75">
      <c r="B33" s="5">
        <v>1</v>
      </c>
      <c r="C33" s="5">
        <v>27</v>
      </c>
      <c r="D33" s="4">
        <v>9485</v>
      </c>
      <c r="E33" s="4">
        <f t="shared" si="13"/>
        <v>16054.384615384615</v>
      </c>
      <c r="F33" s="36">
        <f t="shared" si="14"/>
        <v>0.5908043333477075</v>
      </c>
      <c r="G33" s="36">
        <f t="shared" si="15"/>
        <v>-6569.384615384615</v>
      </c>
      <c r="H33" s="36"/>
      <c r="I33" s="36"/>
      <c r="J33" s="36"/>
      <c r="K33" s="36"/>
      <c r="L33" s="17">
        <f aca="true" t="shared" si="22" ref="L33:L45">D33/I7</f>
        <v>16004.396458104673</v>
      </c>
      <c r="M33" s="17">
        <f aca="true" t="shared" si="23" ref="M33:M45">D33-K7</f>
        <v>15702.538461538461</v>
      </c>
      <c r="N33" s="4">
        <f t="shared" si="21"/>
        <v>15814.16</v>
      </c>
      <c r="O33" s="4">
        <f t="shared" si="21"/>
        <v>15823.86</v>
      </c>
      <c r="P33" s="4">
        <f aca="true" t="shared" si="24" ref="P33:P45">N33*I7</f>
        <v>9372.256429203922</v>
      </c>
      <c r="Q33" s="4">
        <f aca="true" t="shared" si="25" ref="Q33:Q45">O33+K7</f>
        <v>9606.32153846154</v>
      </c>
      <c r="R33" s="4">
        <f t="shared" si="9"/>
        <v>112.74357079607762</v>
      </c>
      <c r="S33" s="4">
        <f t="shared" si="10"/>
        <v>121.3215384615396</v>
      </c>
      <c r="T33" s="4">
        <f t="shared" si="11"/>
        <v>12711.112755850167</v>
      </c>
      <c r="U33" s="46">
        <f t="shared" si="12"/>
        <v>14718.915694674834</v>
      </c>
    </row>
    <row r="34" spans="2:21" ht="12.75">
      <c r="B34" s="5">
        <v>2</v>
      </c>
      <c r="C34" s="5">
        <v>28</v>
      </c>
      <c r="D34" s="4">
        <v>8492</v>
      </c>
      <c r="E34" s="4">
        <f t="shared" si="13"/>
        <v>16286.23076923077</v>
      </c>
      <c r="F34" s="36">
        <f t="shared" si="14"/>
        <v>0.5214220601640839</v>
      </c>
      <c r="G34" s="36">
        <f t="shared" si="15"/>
        <v>-7794.2307692307695</v>
      </c>
      <c r="H34" s="36"/>
      <c r="I34" s="36"/>
      <c r="J34" s="36"/>
      <c r="K34" s="36"/>
      <c r="L34" s="17">
        <f t="shared" si="22"/>
        <v>16328.300880675059</v>
      </c>
      <c r="M34" s="17">
        <f t="shared" si="23"/>
        <v>15915.192307692309</v>
      </c>
      <c r="N34" s="4">
        <f t="shared" si="21"/>
        <v>15919.24</v>
      </c>
      <c r="O34" s="4">
        <f t="shared" si="21"/>
        <v>15929.04</v>
      </c>
      <c r="P34" s="4">
        <f t="shared" si="24"/>
        <v>8279.256186416564</v>
      </c>
      <c r="Q34" s="4">
        <f t="shared" si="25"/>
        <v>8505.847692307692</v>
      </c>
      <c r="R34" s="4">
        <f t="shared" si="9"/>
        <v>212.74381358343635</v>
      </c>
      <c r="S34" s="4">
        <f t="shared" si="10"/>
        <v>13.847692307692341</v>
      </c>
      <c r="T34" s="4">
        <f t="shared" si="11"/>
        <v>45259.93021802392</v>
      </c>
      <c r="U34" s="46">
        <f t="shared" si="12"/>
        <v>191.75858224852163</v>
      </c>
    </row>
    <row r="35" spans="2:21" ht="12.75">
      <c r="B35" s="5">
        <v>3</v>
      </c>
      <c r="C35" s="5">
        <v>29</v>
      </c>
      <c r="D35" s="4">
        <v>9534</v>
      </c>
      <c r="E35" s="4">
        <f t="shared" si="13"/>
        <v>16512.23076923077</v>
      </c>
      <c r="F35" s="36">
        <f t="shared" si="14"/>
        <v>0.5773901862954732</v>
      </c>
      <c r="G35" s="36">
        <f t="shared" si="15"/>
        <v>-6978.2307692307695</v>
      </c>
      <c r="H35" s="36"/>
      <c r="I35" s="36"/>
      <c r="J35" s="36"/>
      <c r="K35" s="36"/>
      <c r="L35" s="17">
        <f t="shared" si="22"/>
        <v>15482.221671569205</v>
      </c>
      <c r="M35" s="17">
        <f t="shared" si="23"/>
        <v>15597.692307692309</v>
      </c>
      <c r="N35" s="4">
        <f t="shared" si="21"/>
        <v>16024.32</v>
      </c>
      <c r="O35" s="4">
        <f t="shared" si="21"/>
        <v>16034.220000000001</v>
      </c>
      <c r="P35" s="4">
        <f t="shared" si="24"/>
        <v>9867.825827642691</v>
      </c>
      <c r="Q35" s="4">
        <f t="shared" si="25"/>
        <v>9970.527692307693</v>
      </c>
      <c r="R35" s="4">
        <f t="shared" si="9"/>
        <v>333.82582764269137</v>
      </c>
      <c r="S35" s="4">
        <f t="shared" si="10"/>
        <v>436.52769230769263</v>
      </c>
      <c r="T35" s="4">
        <f t="shared" si="11"/>
        <v>111439.68320132788</v>
      </c>
      <c r="U35" s="46">
        <f t="shared" si="12"/>
        <v>190556.42615147957</v>
      </c>
    </row>
    <row r="36" spans="2:21" ht="12.75">
      <c r="B36" s="5">
        <v>4</v>
      </c>
      <c r="C36" s="5">
        <v>30</v>
      </c>
      <c r="D36" s="4">
        <v>15298</v>
      </c>
      <c r="E36" s="4">
        <f t="shared" si="13"/>
        <v>16576.384615384617</v>
      </c>
      <c r="F36" s="36">
        <f t="shared" si="14"/>
        <v>0.9228791654485295</v>
      </c>
      <c r="G36" s="36">
        <f t="shared" si="15"/>
        <v>-1278.384615384617</v>
      </c>
      <c r="H36" s="36"/>
      <c r="I36" s="36"/>
      <c r="J36" s="36"/>
      <c r="K36" s="36"/>
      <c r="L36" s="17">
        <f t="shared" si="22"/>
        <v>16656.535622030922</v>
      </c>
      <c r="M36" s="17">
        <f t="shared" si="23"/>
        <v>16630</v>
      </c>
      <c r="N36" s="4">
        <f t="shared" si="21"/>
        <v>16129.4</v>
      </c>
      <c r="O36" s="4">
        <f t="shared" si="21"/>
        <v>16139.4</v>
      </c>
      <c r="P36" s="4">
        <f t="shared" si="24"/>
        <v>14813.858463679388</v>
      </c>
      <c r="Q36" s="4">
        <f t="shared" si="25"/>
        <v>14807.4</v>
      </c>
      <c r="R36" s="4">
        <f t="shared" si="9"/>
        <v>484.14153632061243</v>
      </c>
      <c r="S36" s="4">
        <f t="shared" si="10"/>
        <v>490.60000000000036</v>
      </c>
      <c r="T36" s="4">
        <f t="shared" si="11"/>
        <v>234393.0271908829</v>
      </c>
      <c r="U36" s="46">
        <f t="shared" si="12"/>
        <v>240688.36000000036</v>
      </c>
    </row>
    <row r="37" spans="2:21" ht="12.75">
      <c r="B37" s="5">
        <v>5</v>
      </c>
      <c r="C37" s="5">
        <v>31</v>
      </c>
      <c r="D37" s="4">
        <v>21228</v>
      </c>
      <c r="E37" s="4">
        <f t="shared" si="13"/>
        <v>16642.076923076922</v>
      </c>
      <c r="F37" s="36">
        <f t="shared" si="14"/>
        <v>1.2755619444688395</v>
      </c>
      <c r="G37" s="36">
        <f t="shared" si="15"/>
        <v>4585.923076923078</v>
      </c>
      <c r="H37" s="36"/>
      <c r="I37" s="36"/>
      <c r="J37" s="36"/>
      <c r="K37" s="36"/>
      <c r="L37" s="17">
        <f t="shared" si="22"/>
        <v>16429.63532188644</v>
      </c>
      <c r="M37" s="17">
        <f t="shared" si="23"/>
        <v>16731.46153846154</v>
      </c>
      <c r="N37" s="4">
        <f t="shared" si="21"/>
        <v>16234.48</v>
      </c>
      <c r="O37" s="4">
        <f t="shared" si="21"/>
        <v>16244.58</v>
      </c>
      <c r="P37" s="4">
        <f t="shared" si="24"/>
        <v>20975.84850108714</v>
      </c>
      <c r="Q37" s="4">
        <f t="shared" si="25"/>
        <v>20741.118461538463</v>
      </c>
      <c r="R37" s="4">
        <f t="shared" si="9"/>
        <v>252.1514989128591</v>
      </c>
      <c r="S37" s="4">
        <f t="shared" si="10"/>
        <v>486.8815384615373</v>
      </c>
      <c r="T37" s="4">
        <f t="shared" si="11"/>
        <v>63580.37840400158</v>
      </c>
      <c r="U37" s="46">
        <f t="shared" si="12"/>
        <v>237053.6324946734</v>
      </c>
    </row>
    <row r="38" spans="2:21" ht="12.75">
      <c r="B38" s="5">
        <v>6</v>
      </c>
      <c r="C38" s="5">
        <v>32</v>
      </c>
      <c r="D38" s="4">
        <v>20823</v>
      </c>
      <c r="E38" s="4">
        <f t="shared" si="13"/>
        <v>16766</v>
      </c>
      <c r="F38" s="36">
        <f t="shared" si="14"/>
        <v>1.2419778122390552</v>
      </c>
      <c r="G38" s="36">
        <f t="shared" si="15"/>
        <v>4057</v>
      </c>
      <c r="H38" s="36"/>
      <c r="I38" s="36"/>
      <c r="J38" s="36"/>
      <c r="K38" s="36"/>
      <c r="L38" s="17">
        <f t="shared" si="22"/>
        <v>17893.81581147372</v>
      </c>
      <c r="M38" s="17">
        <f t="shared" si="23"/>
        <v>18227.076923076922</v>
      </c>
      <c r="N38" s="4">
        <f t="shared" si="21"/>
        <v>16339.56</v>
      </c>
      <c r="O38" s="4">
        <f t="shared" si="21"/>
        <v>16349.76</v>
      </c>
      <c r="P38" s="4">
        <f t="shared" si="24"/>
        <v>19014.31541850537</v>
      </c>
      <c r="Q38" s="4">
        <f t="shared" si="25"/>
        <v>18945.683076923076</v>
      </c>
      <c r="R38" s="4">
        <f t="shared" si="9"/>
        <v>1808.6845814946282</v>
      </c>
      <c r="S38" s="4">
        <f t="shared" si="10"/>
        <v>1877.3169230769236</v>
      </c>
      <c r="T38" s="4">
        <f t="shared" si="11"/>
        <v>3271339.9153363984</v>
      </c>
      <c r="U38" s="46">
        <f t="shared" si="12"/>
        <v>3524318.8296710076</v>
      </c>
    </row>
    <row r="39" spans="2:21" ht="12.75">
      <c r="B39" s="5">
        <v>7</v>
      </c>
      <c r="C39" s="5">
        <v>33</v>
      </c>
      <c r="D39" s="4">
        <v>29436</v>
      </c>
      <c r="E39" s="4">
        <f t="shared" si="13"/>
        <v>16705.30769230769</v>
      </c>
      <c r="F39" s="36">
        <f t="shared" si="14"/>
        <v>1.7620746975857513</v>
      </c>
      <c r="G39" s="36">
        <f t="shared" si="15"/>
        <v>12730.692307692309</v>
      </c>
      <c r="H39" s="36"/>
      <c r="I39" s="36"/>
      <c r="J39" s="36"/>
      <c r="K39" s="36"/>
      <c r="L39" s="17">
        <f t="shared" si="22"/>
        <v>16984.28385563504</v>
      </c>
      <c r="M39" s="17">
        <f t="shared" si="23"/>
        <v>18216.5</v>
      </c>
      <c r="N39" s="4">
        <f t="shared" si="21"/>
        <v>16444.64</v>
      </c>
      <c r="O39" s="4">
        <f t="shared" si="21"/>
        <v>16454.94</v>
      </c>
      <c r="P39" s="4">
        <f t="shared" si="24"/>
        <v>28500.726150982056</v>
      </c>
      <c r="Q39" s="4">
        <f t="shared" si="25"/>
        <v>27674.44</v>
      </c>
      <c r="R39" s="4">
        <f t="shared" si="9"/>
        <v>935.2738490179436</v>
      </c>
      <c r="S39" s="4">
        <f t="shared" si="10"/>
        <v>1761.5600000000013</v>
      </c>
      <c r="T39" s="4">
        <f t="shared" si="11"/>
        <v>874737.1726568391</v>
      </c>
      <c r="U39" s="46">
        <f t="shared" si="12"/>
        <v>3103093.6336000045</v>
      </c>
    </row>
    <row r="40" spans="2:21" ht="12.75">
      <c r="B40" s="5">
        <v>8</v>
      </c>
      <c r="C40" s="5">
        <v>34</v>
      </c>
      <c r="D40" s="4">
        <v>31620</v>
      </c>
      <c r="E40" s="4"/>
      <c r="F40" s="36"/>
      <c r="G40" s="36"/>
      <c r="H40" s="36"/>
      <c r="I40" s="36"/>
      <c r="J40" s="36"/>
      <c r="K40" s="36"/>
      <c r="L40" s="17">
        <f t="shared" si="22"/>
        <v>16763.54697531771</v>
      </c>
      <c r="M40" s="17">
        <f t="shared" si="23"/>
        <v>18039.153846153844</v>
      </c>
      <c r="N40" s="4">
        <f t="shared" si="21"/>
        <v>16549.72</v>
      </c>
      <c r="O40" s="4">
        <f t="shared" si="21"/>
        <v>16560.12</v>
      </c>
      <c r="P40" s="4">
        <f t="shared" si="24"/>
        <v>31216.671935271155</v>
      </c>
      <c r="Q40" s="4">
        <f t="shared" si="25"/>
        <v>30140.96615384615</v>
      </c>
      <c r="R40" s="4">
        <f t="shared" si="9"/>
        <v>403.32806472884477</v>
      </c>
      <c r="S40" s="4">
        <f t="shared" si="10"/>
        <v>1479.0338461538486</v>
      </c>
      <c r="T40" s="4">
        <f t="shared" si="11"/>
        <v>162673.5277979152</v>
      </c>
      <c r="U40" s="46">
        <f t="shared" si="12"/>
        <v>2187541.118068646</v>
      </c>
    </row>
    <row r="41" spans="2:21" ht="12.75">
      <c r="B41" s="5">
        <v>9</v>
      </c>
      <c r="C41" s="5">
        <v>35</v>
      </c>
      <c r="D41" s="4">
        <v>21411</v>
      </c>
      <c r="E41" s="4"/>
      <c r="F41" s="36"/>
      <c r="G41" s="36"/>
      <c r="H41" s="36"/>
      <c r="I41" s="36"/>
      <c r="J41" s="36"/>
      <c r="K41" s="36"/>
      <c r="L41" s="17">
        <f t="shared" si="22"/>
        <v>17462.837472877098</v>
      </c>
      <c r="M41" s="17">
        <f t="shared" si="23"/>
        <v>18042.53846153846</v>
      </c>
      <c r="N41" s="4">
        <f t="shared" si="21"/>
        <v>16654.8</v>
      </c>
      <c r="O41" s="4">
        <f t="shared" si="21"/>
        <v>16665.3</v>
      </c>
      <c r="P41" s="4">
        <f t="shared" si="24"/>
        <v>20420.2738159739</v>
      </c>
      <c r="Q41" s="4">
        <f t="shared" si="25"/>
        <v>20033.76153846154</v>
      </c>
      <c r="R41" s="4">
        <f t="shared" si="9"/>
        <v>990.7261840261017</v>
      </c>
      <c r="S41" s="4">
        <f t="shared" si="10"/>
        <v>1377.2384615384617</v>
      </c>
      <c r="T41" s="4">
        <f t="shared" si="11"/>
        <v>981538.3717149211</v>
      </c>
      <c r="U41" s="46">
        <f t="shared" si="12"/>
        <v>1896785.779940829</v>
      </c>
    </row>
    <row r="42" spans="2:21" ht="12.75">
      <c r="B42" s="5">
        <v>10</v>
      </c>
      <c r="C42" s="5">
        <v>36</v>
      </c>
      <c r="D42" s="4">
        <v>13083</v>
      </c>
      <c r="E42" s="4"/>
      <c r="F42" s="36"/>
      <c r="G42" s="36"/>
      <c r="H42" s="36"/>
      <c r="I42" s="36"/>
      <c r="J42" s="36"/>
      <c r="K42" s="36"/>
      <c r="L42" s="17">
        <f t="shared" si="22"/>
        <v>16168.762622802908</v>
      </c>
      <c r="M42" s="17">
        <f t="shared" si="23"/>
        <v>15941.923076923076</v>
      </c>
      <c r="N42" s="4">
        <f t="shared" si="21"/>
        <v>16759.88</v>
      </c>
      <c r="O42" s="4">
        <f t="shared" si="21"/>
        <v>16770.48</v>
      </c>
      <c r="P42" s="4">
        <f t="shared" si="24"/>
        <v>13561.304297384071</v>
      </c>
      <c r="Q42" s="4">
        <f t="shared" si="25"/>
        <v>13911.556923076923</v>
      </c>
      <c r="R42" s="4">
        <f t="shared" si="9"/>
        <v>478.3042973840711</v>
      </c>
      <c r="S42" s="4">
        <f t="shared" si="10"/>
        <v>828.5569230769233</v>
      </c>
      <c r="T42" s="4">
        <f t="shared" si="11"/>
        <v>228775.00089606992</v>
      </c>
      <c r="U42" s="46">
        <f t="shared" si="12"/>
        <v>686506.5747786986</v>
      </c>
    </row>
    <row r="43" spans="2:21" ht="12.75">
      <c r="B43" s="5">
        <v>11</v>
      </c>
      <c r="C43" s="5">
        <v>37</v>
      </c>
      <c r="D43" s="4">
        <v>10271</v>
      </c>
      <c r="E43" s="4"/>
      <c r="F43" s="36"/>
      <c r="G43" s="36"/>
      <c r="H43" s="36"/>
      <c r="I43" s="36"/>
      <c r="J43" s="36"/>
      <c r="K43" s="36"/>
      <c r="L43" s="17">
        <f t="shared" si="22"/>
        <v>17229.068434202207</v>
      </c>
      <c r="M43" s="17">
        <f t="shared" si="23"/>
        <v>16112.461538461537</v>
      </c>
      <c r="N43" s="4">
        <f t="shared" si="21"/>
        <v>16864.96</v>
      </c>
      <c r="O43" s="4">
        <f t="shared" si="21"/>
        <v>16875.66</v>
      </c>
      <c r="P43" s="4">
        <f t="shared" si="24"/>
        <v>10053.939063596328</v>
      </c>
      <c r="Q43" s="4">
        <f t="shared" si="25"/>
        <v>11034.198461538463</v>
      </c>
      <c r="R43" s="4">
        <f t="shared" si="9"/>
        <v>217.0609364036718</v>
      </c>
      <c r="S43" s="4">
        <f t="shared" si="10"/>
        <v>763.1984615384627</v>
      </c>
      <c r="T43" s="4">
        <f t="shared" si="11"/>
        <v>47115.450112438855</v>
      </c>
      <c r="U43" s="46">
        <f t="shared" si="12"/>
        <v>582471.8916946762</v>
      </c>
    </row>
    <row r="44" spans="2:21" ht="12.75">
      <c r="B44" s="5">
        <v>12</v>
      </c>
      <c r="C44" s="5">
        <v>38</v>
      </c>
      <c r="D44" s="4">
        <v>11979</v>
      </c>
      <c r="E44" s="4"/>
      <c r="F44" s="36"/>
      <c r="G44" s="36"/>
      <c r="H44" s="36"/>
      <c r="I44" s="36"/>
      <c r="J44" s="36"/>
      <c r="K44" s="36"/>
      <c r="L44" s="17">
        <f t="shared" si="22"/>
        <v>17687.94045036842</v>
      </c>
      <c r="M44" s="17">
        <f t="shared" si="23"/>
        <v>17022</v>
      </c>
      <c r="N44" s="4">
        <f t="shared" si="21"/>
        <v>16970.04</v>
      </c>
      <c r="O44" s="4">
        <f t="shared" si="21"/>
        <v>16980.84</v>
      </c>
      <c r="P44" s="4">
        <f t="shared" si="24"/>
        <v>11492.808319340866</v>
      </c>
      <c r="Q44" s="4">
        <f t="shared" si="25"/>
        <v>11937.84</v>
      </c>
      <c r="R44" s="4">
        <f t="shared" si="9"/>
        <v>486.19168065913436</v>
      </c>
      <c r="S44" s="4">
        <f t="shared" si="10"/>
        <v>41.159999999999854</v>
      </c>
      <c r="T44" s="4">
        <f t="shared" si="11"/>
        <v>236382.3503421537</v>
      </c>
      <c r="U44" s="46">
        <f t="shared" si="12"/>
        <v>1694.145599999988</v>
      </c>
    </row>
    <row r="45" spans="2:21" ht="12.75">
      <c r="B45" s="38">
        <v>13</v>
      </c>
      <c r="C45" s="38">
        <v>39</v>
      </c>
      <c r="D45" s="44">
        <v>14509</v>
      </c>
      <c r="E45" s="44"/>
      <c r="F45" s="24"/>
      <c r="G45" s="24"/>
      <c r="H45" s="24"/>
      <c r="I45" s="24"/>
      <c r="J45" s="24"/>
      <c r="K45" s="24"/>
      <c r="L45" s="35">
        <f t="shared" si="22"/>
        <v>14968.804571410341</v>
      </c>
      <c r="M45" s="35">
        <f t="shared" si="23"/>
        <v>14990.461538461537</v>
      </c>
      <c r="N45" s="44">
        <f t="shared" si="21"/>
        <v>17075.12</v>
      </c>
      <c r="O45" s="44">
        <f t="shared" si="21"/>
        <v>17086.02</v>
      </c>
      <c r="P45" s="44">
        <f t="shared" si="24"/>
        <v>16550.614639807405</v>
      </c>
      <c r="Q45" s="4">
        <f t="shared" si="25"/>
        <v>16604.55846153846</v>
      </c>
      <c r="R45" s="4">
        <f t="shared" si="9"/>
        <v>2041.6146398074052</v>
      </c>
      <c r="S45" s="4">
        <f t="shared" si="10"/>
        <v>2095.5584615384614</v>
      </c>
      <c r="T45" s="4">
        <f t="shared" si="11"/>
        <v>4168190.337475921</v>
      </c>
      <c r="U45" s="46">
        <f t="shared" si="12"/>
        <v>4391365.265725443</v>
      </c>
    </row>
    <row r="46" spans="2:16" ht="12.75">
      <c r="B46" s="45">
        <v>1</v>
      </c>
      <c r="C46" s="13">
        <v>40</v>
      </c>
      <c r="D46" s="29"/>
      <c r="E46" s="42"/>
      <c r="F46" s="42"/>
      <c r="G46" s="42"/>
      <c r="H46" s="42"/>
      <c r="I46" s="42"/>
      <c r="J46" s="42"/>
      <c r="K46" s="42"/>
      <c r="L46" s="12"/>
      <c r="M46" s="12"/>
      <c r="N46" s="23">
        <f aca="true" t="shared" si="26" ref="N46:N58">N$4*$C46+N$3</f>
        <v>17180.2</v>
      </c>
      <c r="O46" s="13"/>
      <c r="P46" s="14">
        <f aca="true" t="shared" si="27" ref="P46:P58">N46*I7</f>
        <v>10181.839560558969</v>
      </c>
    </row>
    <row r="47" spans="2:16" ht="12.75">
      <c r="B47" s="37">
        <v>2</v>
      </c>
      <c r="C47" s="5">
        <v>41</v>
      </c>
      <c r="D47" s="15"/>
      <c r="E47" s="15"/>
      <c r="F47" s="15"/>
      <c r="G47" s="15"/>
      <c r="H47" s="15"/>
      <c r="I47" s="15"/>
      <c r="K47" s="15"/>
      <c r="L47" s="15"/>
      <c r="M47" s="15"/>
      <c r="N47" s="4">
        <f t="shared" si="26"/>
        <v>17285.28</v>
      </c>
      <c r="O47" s="5"/>
      <c r="P47" s="16">
        <f t="shared" si="27"/>
        <v>8989.704368672279</v>
      </c>
    </row>
    <row r="48" spans="2:16" ht="12.75">
      <c r="B48" s="37">
        <v>3</v>
      </c>
      <c r="C48" s="5">
        <v>42</v>
      </c>
      <c r="G48" s="20"/>
      <c r="N48" s="4">
        <f t="shared" si="26"/>
        <v>17390.36</v>
      </c>
      <c r="O48" s="5"/>
      <c r="P48" s="16">
        <f t="shared" si="27"/>
        <v>10709.037485522278</v>
      </c>
    </row>
    <row r="49" spans="2:16" ht="12.75">
      <c r="B49" s="37">
        <v>4</v>
      </c>
      <c r="C49" s="5">
        <v>43</v>
      </c>
      <c r="N49" s="4">
        <f t="shared" si="26"/>
        <v>17495.44</v>
      </c>
      <c r="O49" s="5"/>
      <c r="P49" s="16">
        <f t="shared" si="27"/>
        <v>16068.481897640018</v>
      </c>
    </row>
    <row r="50" spans="2:16" ht="12.75">
      <c r="B50" s="37">
        <v>5</v>
      </c>
      <c r="C50" s="5">
        <v>44</v>
      </c>
      <c r="N50" s="4">
        <f t="shared" si="26"/>
        <v>17600.52</v>
      </c>
      <c r="O50" s="5"/>
      <c r="P50" s="16">
        <f t="shared" si="27"/>
        <v>22740.84793971561</v>
      </c>
    </row>
    <row r="51" spans="2:16" ht="12.75">
      <c r="B51" s="37">
        <v>6</v>
      </c>
      <c r="C51" s="5">
        <v>45</v>
      </c>
      <c r="D51" s="19"/>
      <c r="N51" s="4">
        <f t="shared" si="26"/>
        <v>17705.6</v>
      </c>
      <c r="O51" s="5"/>
      <c r="P51" s="16">
        <f t="shared" si="27"/>
        <v>20603.97361213452</v>
      </c>
    </row>
    <row r="52" spans="2:16" ht="12.75">
      <c r="B52" s="37">
        <v>7</v>
      </c>
      <c r="C52" s="5">
        <v>46</v>
      </c>
      <c r="D52" s="10"/>
      <c r="E52" s="10"/>
      <c r="N52" s="4">
        <f t="shared" si="26"/>
        <v>17810.68</v>
      </c>
      <c r="O52" s="5"/>
      <c r="P52" s="16">
        <f t="shared" si="27"/>
        <v>30868.253317967017</v>
      </c>
    </row>
    <row r="53" spans="2:16" ht="12.75">
      <c r="B53" s="37">
        <v>8</v>
      </c>
      <c r="C53" s="5">
        <v>47</v>
      </c>
      <c r="D53" s="10"/>
      <c r="E53" s="10"/>
      <c r="N53" s="4">
        <f t="shared" si="26"/>
        <v>17915.760000000002</v>
      </c>
      <c r="O53" s="5"/>
      <c r="P53" s="16">
        <f t="shared" si="27"/>
        <v>33793.34528868486</v>
      </c>
    </row>
    <row r="54" spans="2:16" ht="12.75">
      <c r="B54" s="37">
        <v>9</v>
      </c>
      <c r="C54" s="5">
        <v>48</v>
      </c>
      <c r="D54" s="10"/>
      <c r="E54" s="10"/>
      <c r="N54" s="4">
        <f t="shared" si="26"/>
        <v>18020.84</v>
      </c>
      <c r="O54" s="5"/>
      <c r="P54" s="16">
        <f t="shared" si="27"/>
        <v>22095.160986253515</v>
      </c>
    </row>
    <row r="55" spans="2:16" ht="12.75">
      <c r="B55" s="37">
        <v>10</v>
      </c>
      <c r="C55" s="5">
        <v>49</v>
      </c>
      <c r="D55" s="10"/>
      <c r="E55" s="10"/>
      <c r="N55" s="4">
        <f t="shared" si="26"/>
        <v>18125.92</v>
      </c>
      <c r="O55" s="5"/>
      <c r="P55" s="16">
        <f t="shared" si="27"/>
        <v>14666.639426418318</v>
      </c>
    </row>
    <row r="56" spans="2:16" ht="12.75">
      <c r="B56" s="37">
        <v>11</v>
      </c>
      <c r="C56" s="5">
        <v>50</v>
      </c>
      <c r="D56" s="10"/>
      <c r="E56" s="10"/>
      <c r="N56" s="4">
        <f t="shared" si="26"/>
        <v>18231</v>
      </c>
      <c r="O56" s="5"/>
      <c r="P56" s="16">
        <f t="shared" si="27"/>
        <v>10868.295155661483</v>
      </c>
    </row>
    <row r="57" spans="2:16" ht="12.75">
      <c r="B57" s="37">
        <v>12</v>
      </c>
      <c r="C57" s="5">
        <v>51</v>
      </c>
      <c r="D57" s="10"/>
      <c r="E57" s="10"/>
      <c r="N57" s="4">
        <f t="shared" si="26"/>
        <v>18336.08</v>
      </c>
      <c r="O57" s="5"/>
      <c r="P57" s="16">
        <f t="shared" si="27"/>
        <v>12417.946732482638</v>
      </c>
    </row>
    <row r="58" spans="2:16" ht="12.75">
      <c r="B58" s="9">
        <v>13</v>
      </c>
      <c r="C58" s="30">
        <v>52</v>
      </c>
      <c r="D58" s="25"/>
      <c r="E58" s="25"/>
      <c r="F58" s="27"/>
      <c r="G58" s="27"/>
      <c r="H58" s="27"/>
      <c r="I58" s="27"/>
      <c r="J58" s="27"/>
      <c r="K58" s="27"/>
      <c r="L58" s="27"/>
      <c r="M58" s="27"/>
      <c r="N58" s="11">
        <f t="shared" si="26"/>
        <v>18441.16</v>
      </c>
      <c r="O58" s="30"/>
      <c r="P58" s="39">
        <f t="shared" si="27"/>
        <v>17874.693277179354</v>
      </c>
    </row>
    <row r="59" spans="4:14" ht="12.75">
      <c r="D59" s="10"/>
      <c r="E59" s="10"/>
      <c r="N59" s="10"/>
    </row>
    <row r="60" spans="4:14" ht="12.75">
      <c r="D60" s="10"/>
      <c r="E60" s="10"/>
      <c r="N60" s="10"/>
    </row>
    <row r="61" spans="4:14" ht="12.75">
      <c r="D61" s="10"/>
      <c r="E61" s="10"/>
      <c r="N61" s="10"/>
    </row>
    <row r="62" spans="4:14" ht="12.75">
      <c r="D62" s="10"/>
      <c r="E62" s="10"/>
      <c r="N62" s="10"/>
    </row>
    <row r="63" spans="4:14" ht="12.75">
      <c r="D63" s="10"/>
      <c r="E63" s="10"/>
      <c r="N63" s="10"/>
    </row>
    <row r="64" spans="4:14" ht="12.75">
      <c r="D64" s="10"/>
      <c r="E64" s="10"/>
      <c r="N64" s="10"/>
    </row>
    <row r="75" spans="4:12" ht="12.75">
      <c r="D75"/>
      <c r="E75"/>
      <c r="F75"/>
      <c r="G75"/>
      <c r="H75"/>
      <c r="I75"/>
      <c r="J75"/>
      <c r="K75"/>
      <c r="L75"/>
    </row>
  </sheetData>
  <printOptions headings="1"/>
  <pageMargins left="0.75" right="0.75" top="1.6666666666666667" bottom="1.6666666666666667" header="0" footer="0"/>
  <pageSetup cellComments="asDisplayed" fitToHeight="1" fitToWidth="1" horizontalDpi="600" verticalDpi="600" orientation="landscape" paperSize="9" scale="60" r:id="rId2"/>
  <headerFooter alignWithMargins="0">
    <oddHeader>&amp;L&amp;C&amp;[TAB]&amp;R</oddHeader>
    <oddFooter>&amp;L&amp;CPage &amp;[PAGE]&amp;R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23"/>
  <sheetViews>
    <sheetView showGridLines="0" zoomScaleSheetLayoutView="1" workbookViewId="0" topLeftCell="A1">
      <selection activeCell="G4" sqref="G4"/>
    </sheetView>
  </sheetViews>
  <sheetFormatPr defaultColWidth="11.00390625" defaultRowHeight="12.75"/>
  <cols>
    <col min="1" max="1" width="3.75390625" style="1" customWidth="1"/>
    <col min="2" max="2" width="8.625" style="1" customWidth="1"/>
    <col min="3" max="3" width="7.25390625" style="1" customWidth="1"/>
    <col min="4" max="4" width="7.75390625" style="1" customWidth="1"/>
    <col min="5" max="8" width="11.375" style="1" customWidth="1"/>
    <col min="9" max="9" width="12.75390625" style="1" customWidth="1"/>
    <col min="10" max="11" width="11.375" style="1" customWidth="1"/>
  </cols>
  <sheetData>
    <row r="3" spans="3:9" ht="12.75">
      <c r="C3" s="63" t="s">
        <v>31</v>
      </c>
      <c r="D3" s="49">
        <v>0.20396429029403232</v>
      </c>
      <c r="G3" s="56" t="s">
        <v>27</v>
      </c>
      <c r="H3" s="17">
        <f>SUM(H9:H19)</f>
        <v>4966.217786880692</v>
      </c>
      <c r="I3" s="17">
        <f>SUM(I8:I19)</f>
        <v>4158509.2047461555</v>
      </c>
    </row>
    <row r="4" spans="3:9" ht="25.5">
      <c r="C4" s="63" t="s">
        <v>30</v>
      </c>
      <c r="D4" s="49">
        <v>0.22764341791081397</v>
      </c>
      <c r="G4" s="53" t="s">
        <v>36</v>
      </c>
      <c r="H4" s="4">
        <f>H3/11</f>
        <v>451.4743442618811</v>
      </c>
      <c r="I4" s="4">
        <f>SQRT(I3)/10</f>
        <v>203.92423114348514</v>
      </c>
    </row>
    <row r="5" spans="4:9" ht="12.75">
      <c r="D5" s="64"/>
      <c r="H5" s="10"/>
      <c r="I5" s="10"/>
    </row>
    <row r="7" spans="2:9" ht="26.25" customHeight="1">
      <c r="B7" s="34" t="s">
        <v>34</v>
      </c>
      <c r="C7" s="7" t="s">
        <v>4</v>
      </c>
      <c r="D7" s="7" t="s">
        <v>8</v>
      </c>
      <c r="E7" s="57" t="s">
        <v>6</v>
      </c>
      <c r="F7" s="57" t="s">
        <v>7</v>
      </c>
      <c r="G7" s="57" t="s">
        <v>35</v>
      </c>
      <c r="H7" s="59" t="s">
        <v>32</v>
      </c>
      <c r="I7" s="58" t="s">
        <v>33</v>
      </c>
    </row>
    <row r="8" spans="2:9" ht="12.75">
      <c r="B8" s="37">
        <v>1</v>
      </c>
      <c r="C8" s="63">
        <v>1</v>
      </c>
      <c r="D8" s="63">
        <v>1830</v>
      </c>
      <c r="E8" s="46">
        <f>D8</f>
        <v>1830</v>
      </c>
      <c r="F8" s="63">
        <v>0</v>
      </c>
      <c r="G8" s="63"/>
      <c r="H8" s="63"/>
      <c r="I8" s="50"/>
    </row>
    <row r="9" spans="2:9" ht="12.75">
      <c r="B9" s="37">
        <v>2</v>
      </c>
      <c r="C9" s="63">
        <v>2</v>
      </c>
      <c r="D9" s="63">
        <v>1775</v>
      </c>
      <c r="E9" s="46">
        <f aca="true" t="shared" si="0" ref="E9:E19">$D$3*D9+(1-$D$3)*(E8+F8)</f>
        <v>1818.7819640338282</v>
      </c>
      <c r="F9" s="60">
        <f aca="true" t="shared" si="1" ref="F9:F19">$D$4*(E9-E8)+(1-$D$4)*F8</f>
        <v>-2.553712049585785</v>
      </c>
      <c r="G9" s="46">
        <f aca="true" t="shared" si="2" ref="G9:G19">E8+F8</f>
        <v>1830</v>
      </c>
      <c r="H9" s="65">
        <f aca="true" t="shared" si="3" ref="H9:H19">ABS(G9-D9)</f>
        <v>55</v>
      </c>
      <c r="I9" s="61">
        <f aca="true" t="shared" si="4" ref="I9:I19">(G9-D9)^2</f>
        <v>3025</v>
      </c>
    </row>
    <row r="10" spans="2:9" ht="12.75">
      <c r="B10" s="37">
        <v>3</v>
      </c>
      <c r="C10" s="63">
        <v>3</v>
      </c>
      <c r="D10" s="63">
        <v>1475</v>
      </c>
      <c r="E10" s="46">
        <f t="shared" si="0"/>
        <v>1746.6298737400034</v>
      </c>
      <c r="F10" s="60">
        <f t="shared" si="1"/>
        <v>-18.397324754153992</v>
      </c>
      <c r="G10" s="46">
        <f t="shared" si="2"/>
        <v>1816.2282519842424</v>
      </c>
      <c r="H10" s="65">
        <f t="shared" si="3"/>
        <v>341.22825198424243</v>
      </c>
      <c r="I10" s="61">
        <f t="shared" si="4"/>
        <v>116436.71995222165</v>
      </c>
    </row>
    <row r="11" spans="2:9" ht="12.75">
      <c r="B11" s="37">
        <v>4</v>
      </c>
      <c r="C11" s="63">
        <v>4</v>
      </c>
      <c r="D11" s="63">
        <v>1675</v>
      </c>
      <c r="E11" s="46">
        <f t="shared" si="0"/>
        <v>1717.3750099114084</v>
      </c>
      <c r="F11" s="60">
        <f t="shared" si="1"/>
        <v>-20.868972059159965</v>
      </c>
      <c r="G11" s="46">
        <f t="shared" si="2"/>
        <v>1728.2325489858495</v>
      </c>
      <c r="H11" s="65">
        <f t="shared" si="3"/>
        <v>53.23254898584946</v>
      </c>
      <c r="I11" s="61">
        <f t="shared" si="4"/>
        <v>2833.7042715308626</v>
      </c>
    </row>
    <row r="12" spans="2:9" ht="12.75">
      <c r="B12" s="37">
        <v>1</v>
      </c>
      <c r="C12" s="63">
        <v>5</v>
      </c>
      <c r="D12" s="63">
        <v>2850</v>
      </c>
      <c r="E12" s="46">
        <f t="shared" si="0"/>
        <v>1931.777615200166</v>
      </c>
      <c r="F12" s="60">
        <f t="shared" si="1"/>
        <v>32.689053945588455</v>
      </c>
      <c r="G12" s="46">
        <f t="shared" si="2"/>
        <v>1696.5060378522485</v>
      </c>
      <c r="H12" s="65">
        <f t="shared" si="3"/>
        <v>1153.4939621477515</v>
      </c>
      <c r="I12" s="61">
        <f t="shared" si="4"/>
        <v>1330548.3207113184</v>
      </c>
    </row>
    <row r="13" spans="2:9" ht="12.75">
      <c r="B13" s="37">
        <v>2</v>
      </c>
      <c r="C13" s="63">
        <v>6</v>
      </c>
      <c r="D13" s="63">
        <v>2500</v>
      </c>
      <c r="E13" s="46">
        <f t="shared" si="0"/>
        <v>2073.69634490224</v>
      </c>
      <c r="F13" s="60">
        <f t="shared" si="1"/>
        <v>57.55447067208479</v>
      </c>
      <c r="G13" s="46">
        <f t="shared" si="2"/>
        <v>1964.4666691457546</v>
      </c>
      <c r="H13" s="65">
        <f t="shared" si="3"/>
        <v>535.5333308542454</v>
      </c>
      <c r="I13" s="61">
        <f t="shared" si="4"/>
        <v>286795.9484558426</v>
      </c>
    </row>
    <row r="14" spans="2:9" ht="12.75">
      <c r="B14" s="37">
        <v>3</v>
      </c>
      <c r="C14" s="63">
        <v>7</v>
      </c>
      <c r="D14" s="63">
        <v>1950</v>
      </c>
      <c r="E14" s="46">
        <f t="shared" si="0"/>
        <v>2094.282121610493</v>
      </c>
      <c r="F14" s="60">
        <f t="shared" si="1"/>
        <v>49.13879082245924</v>
      </c>
      <c r="G14" s="46">
        <f t="shared" si="2"/>
        <v>2131.250815574325</v>
      </c>
      <c r="H14" s="65">
        <f t="shared" si="3"/>
        <v>181.25081557432486</v>
      </c>
      <c r="I14" s="61">
        <f t="shared" si="4"/>
        <v>32851.858146357925</v>
      </c>
    </row>
    <row r="15" spans="2:9" ht="12.75">
      <c r="B15" s="37">
        <v>4</v>
      </c>
      <c r="C15" s="63">
        <v>8</v>
      </c>
      <c r="D15" s="63">
        <v>2050</v>
      </c>
      <c r="E15" s="46">
        <f t="shared" si="0"/>
        <v>2124.3663823299444</v>
      </c>
      <c r="F15" s="60">
        <f t="shared" si="1"/>
        <v>44.80115246312602</v>
      </c>
      <c r="G15" s="46">
        <f t="shared" si="2"/>
        <v>2143.4209124329523</v>
      </c>
      <c r="H15" s="65">
        <f t="shared" si="3"/>
        <v>93.42091243295226</v>
      </c>
      <c r="I15" s="61">
        <f t="shared" si="4"/>
        <v>8727.466879805335</v>
      </c>
    </row>
    <row r="16" spans="2:9" ht="12.75">
      <c r="B16" s="37">
        <v>1</v>
      </c>
      <c r="C16" s="63">
        <v>9</v>
      </c>
      <c r="D16" s="63">
        <v>3375</v>
      </c>
      <c r="E16" s="46">
        <f t="shared" si="0"/>
        <v>2415.1142977725053</v>
      </c>
      <c r="F16" s="60">
        <f t="shared" si="1"/>
        <v>100.78931421186545</v>
      </c>
      <c r="G16" s="46">
        <f t="shared" si="2"/>
        <v>2169.1675347930704</v>
      </c>
      <c r="H16" s="65">
        <f t="shared" si="3"/>
        <v>1205.8324652069296</v>
      </c>
      <c r="I16" s="61">
        <f t="shared" si="4"/>
        <v>1454031.934147021</v>
      </c>
    </row>
    <row r="17" spans="2:9" ht="12.75">
      <c r="B17" s="37">
        <v>2</v>
      </c>
      <c r="C17" s="63">
        <v>10</v>
      </c>
      <c r="D17" s="63">
        <v>3100</v>
      </c>
      <c r="E17" s="46">
        <f t="shared" si="0"/>
        <v>2635.038417229286</v>
      </c>
      <c r="F17" s="60">
        <f t="shared" si="1"/>
        <v>127.90956846995714</v>
      </c>
      <c r="G17" s="46">
        <f t="shared" si="2"/>
        <v>2515.903611984371</v>
      </c>
      <c r="H17" s="65">
        <f t="shared" si="3"/>
        <v>584.0963880156291</v>
      </c>
      <c r="I17" s="61">
        <f t="shared" si="4"/>
        <v>341168.5904929044</v>
      </c>
    </row>
    <row r="18" spans="2:9" ht="12.75">
      <c r="B18" s="37">
        <v>3</v>
      </c>
      <c r="C18" s="63">
        <v>11</v>
      </c>
      <c r="D18" s="63">
        <v>2000</v>
      </c>
      <c r="E18" s="46">
        <f t="shared" si="0"/>
        <v>2607.333841264836</v>
      </c>
      <c r="F18" s="60">
        <f t="shared" si="1"/>
        <v>92.48503275564157</v>
      </c>
      <c r="G18" s="46">
        <f t="shared" si="2"/>
        <v>2762.9479856992434</v>
      </c>
      <c r="H18" s="65">
        <f t="shared" si="3"/>
        <v>762.9479856992434</v>
      </c>
      <c r="I18" s="61">
        <f t="shared" si="4"/>
        <v>582089.6288825329</v>
      </c>
    </row>
    <row r="19" spans="2:9" ht="12.75">
      <c r="B19" s="9">
        <v>4</v>
      </c>
      <c r="C19" s="30">
        <v>12</v>
      </c>
      <c r="D19" s="54">
        <v>2700</v>
      </c>
      <c r="E19" s="47">
        <f t="shared" si="0"/>
        <v>2699.8558172523444</v>
      </c>
      <c r="F19" s="51">
        <f t="shared" si="1"/>
        <v>92.49344263921243</v>
      </c>
      <c r="G19" s="47">
        <f t="shared" si="2"/>
        <v>2699.8188740204773</v>
      </c>
      <c r="H19" s="55">
        <f t="shared" si="3"/>
        <v>0.18112597952267606</v>
      </c>
      <c r="I19" s="52">
        <f t="shared" si="4"/>
        <v>0.03280662045804887</v>
      </c>
    </row>
    <row r="20" spans="2:7" ht="12.75">
      <c r="B20" s="62">
        <v>1</v>
      </c>
      <c r="C20" s="62">
        <v>13</v>
      </c>
      <c r="G20" s="48">
        <f>$G$19+B20*$F$19</f>
        <v>2792.3123166596897</v>
      </c>
    </row>
    <row r="21" spans="2:7" ht="12.75">
      <c r="B21" s="63">
        <v>2</v>
      </c>
      <c r="C21" s="63">
        <v>14</v>
      </c>
      <c r="G21" s="46">
        <f>$G$19+B21*$F$19</f>
        <v>2884.805759298902</v>
      </c>
    </row>
    <row r="22" spans="2:7" ht="12.75">
      <c r="B22" s="63">
        <v>3</v>
      </c>
      <c r="C22" s="63">
        <v>15</v>
      </c>
      <c r="G22" s="46">
        <f>$G$19+B22*$F$19</f>
        <v>2977.2992019381145</v>
      </c>
    </row>
    <row r="23" spans="2:7" ht="12.75">
      <c r="B23" s="63">
        <v>4</v>
      </c>
      <c r="C23" s="63">
        <v>16</v>
      </c>
      <c r="G23" s="46">
        <f>$G$19+B23*$F$19</f>
        <v>3069.792644577327</v>
      </c>
    </row>
  </sheetData>
  <printOptions headings="1"/>
  <pageMargins left="0.75" right="0.75" top="1" bottom="1" header="0.49212598450000006" footer="0.49212598450000006"/>
  <pageSetup cellComments="asDisplayed" fitToHeight="0" fitToWidth="0" horizontalDpi="600" verticalDpi="600" orientation="landscape" paperSize="9" r:id="rId2"/>
  <headerFooter alignWithMargins="0">
    <oddHeader>&amp;L&amp;C&amp;[TAB]&amp;R</oddHeader>
    <oddFooter>&amp;L&amp;CPage &amp;[PAGE]&amp;R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23"/>
  <sheetViews>
    <sheetView showGridLines="0" zoomScaleSheetLayoutView="1" workbookViewId="0" topLeftCell="A1">
      <selection activeCell="K1" sqref="K1"/>
    </sheetView>
  </sheetViews>
  <sheetFormatPr defaultColWidth="11.00390625" defaultRowHeight="12.75"/>
  <cols>
    <col min="1" max="1" width="3.75390625" style="1" customWidth="1"/>
    <col min="2" max="2" width="8.875" style="1" customWidth="1"/>
    <col min="3" max="3" width="8.00390625" style="1" customWidth="1"/>
    <col min="4" max="4" width="7.625" style="1" customWidth="1"/>
    <col min="5" max="9" width="11.375" style="1" customWidth="1"/>
    <col min="10" max="10" width="12.75390625" style="1" customWidth="1"/>
  </cols>
  <sheetData>
    <row r="3" spans="3:10" ht="12.75">
      <c r="C3" s="63" t="s">
        <v>31</v>
      </c>
      <c r="D3" s="49">
        <v>0.281767471817273</v>
      </c>
      <c r="H3" s="3" t="s">
        <v>27</v>
      </c>
      <c r="I3" s="17">
        <f>SUM(I9:I19)</f>
        <v>2658.796229208678</v>
      </c>
      <c r="J3" s="17">
        <f>SUM(J8:J19)</f>
        <v>1644344.430881723</v>
      </c>
    </row>
    <row r="4" spans="3:10" ht="25.5">
      <c r="C4" s="63" t="s">
        <v>30</v>
      </c>
      <c r="D4" s="49">
        <v>0.4619809264595937</v>
      </c>
      <c r="H4" s="53" t="s">
        <v>36</v>
      </c>
      <c r="I4" s="4">
        <f>I3/8</f>
        <v>332.34952865108477</v>
      </c>
      <c r="J4" s="4">
        <f>SQRT(J3)/7</f>
        <v>183.18856298860766</v>
      </c>
    </row>
    <row r="5" spans="3:10" ht="12.75">
      <c r="C5" s="63" t="s">
        <v>37</v>
      </c>
      <c r="D5" s="49">
        <v>0.7968328944112835</v>
      </c>
      <c r="H5" s="68"/>
      <c r="I5" s="10"/>
      <c r="J5" s="10"/>
    </row>
    <row r="7" spans="2:10" ht="25.5">
      <c r="B7" s="34" t="s">
        <v>34</v>
      </c>
      <c r="C7" s="7" t="s">
        <v>4</v>
      </c>
      <c r="D7" s="7" t="s">
        <v>8</v>
      </c>
      <c r="E7" s="57" t="s">
        <v>6</v>
      </c>
      <c r="F7" s="57" t="s">
        <v>7</v>
      </c>
      <c r="G7" s="57" t="s">
        <v>38</v>
      </c>
      <c r="H7" s="57" t="s">
        <v>35</v>
      </c>
      <c r="I7" s="59" t="s">
        <v>32</v>
      </c>
      <c r="J7" s="58" t="s">
        <v>33</v>
      </c>
    </row>
    <row r="8" spans="2:10" ht="12.75">
      <c r="B8" s="37">
        <v>1</v>
      </c>
      <c r="C8" s="5">
        <v>1</v>
      </c>
      <c r="D8" s="63">
        <v>1830</v>
      </c>
      <c r="E8" s="65"/>
      <c r="F8" s="65"/>
      <c r="G8" s="65">
        <f>D8/$E$11</f>
        <v>1.0836417468541821</v>
      </c>
      <c r="H8" s="65"/>
      <c r="I8" s="65"/>
      <c r="J8" s="61"/>
    </row>
    <row r="9" spans="2:10" ht="12.75">
      <c r="B9" s="37">
        <v>2</v>
      </c>
      <c r="C9" s="5">
        <v>2</v>
      </c>
      <c r="D9" s="63">
        <v>1775</v>
      </c>
      <c r="E9" s="65"/>
      <c r="F9" s="65"/>
      <c r="G9" s="65">
        <f>D9/$E$11</f>
        <v>1.0510732790525537</v>
      </c>
      <c r="H9" s="65"/>
      <c r="I9" s="65"/>
      <c r="J9" s="61"/>
    </row>
    <row r="10" spans="2:10" ht="12.75">
      <c r="B10" s="37">
        <v>3</v>
      </c>
      <c r="C10" s="5">
        <v>3</v>
      </c>
      <c r="D10" s="63">
        <v>1475</v>
      </c>
      <c r="E10" s="65"/>
      <c r="F10" s="65"/>
      <c r="G10" s="65">
        <f>D10/$E$11</f>
        <v>0.8734270910436713</v>
      </c>
      <c r="H10" s="65"/>
      <c r="I10" s="65"/>
      <c r="J10" s="61"/>
    </row>
    <row r="11" spans="2:10" ht="12.75">
      <c r="B11" s="37">
        <v>4</v>
      </c>
      <c r="C11" s="5">
        <v>4</v>
      </c>
      <c r="D11" s="63">
        <v>1675</v>
      </c>
      <c r="E11" s="65">
        <f>AVERAGE(D8:D11)</f>
        <v>1688.75</v>
      </c>
      <c r="F11" s="60">
        <f>(D11-D8)/3</f>
        <v>-51.666666666666664</v>
      </c>
      <c r="G11" s="65">
        <f>D11/$E$11</f>
        <v>0.9918578830495929</v>
      </c>
      <c r="H11" s="65"/>
      <c r="I11" s="65"/>
      <c r="J11" s="61"/>
    </row>
    <row r="12" spans="2:10" ht="12.75">
      <c r="B12" s="37">
        <v>1</v>
      </c>
      <c r="C12" s="5">
        <v>5</v>
      </c>
      <c r="D12" s="63">
        <v>2850</v>
      </c>
      <c r="E12" s="65">
        <f aca="true" t="shared" si="0" ref="E12:E19">$D$3*D12/G8+(1-$D$3)*(E11+F11)</f>
        <v>1916.8607261488366</v>
      </c>
      <c r="F12" s="60">
        <f aca="true" t="shared" si="1" ref="F12:F19">$D$4*(E12-E11)+(1-$D$4)*F11</f>
        <v>77.58515246868923</v>
      </c>
      <c r="G12" s="65">
        <f aca="true" t="shared" si="2" ref="G12:G19">$D$5*(D12/E12)+(1-$D$5)*G8</f>
        <v>1.404896273638442</v>
      </c>
      <c r="H12" s="65">
        <f aca="true" t="shared" si="3" ref="H12:H19">(E11+F11)*G8</f>
        <v>1774.0118430792006</v>
      </c>
      <c r="I12" s="46">
        <f aca="true" t="shared" si="4" ref="I12:I19">ABS(H12-D12)</f>
        <v>1075.9881569207994</v>
      </c>
      <c r="J12" s="70">
        <f aca="true" t="shared" si="5" ref="J12:J19">(H12-D12)^2</f>
        <v>1157750.5138338187</v>
      </c>
    </row>
    <row r="13" spans="2:10" ht="12.75">
      <c r="B13" s="37">
        <v>2</v>
      </c>
      <c r="C13" s="5">
        <v>6</v>
      </c>
      <c r="D13" s="63">
        <v>2500</v>
      </c>
      <c r="E13" s="65">
        <f t="shared" si="0"/>
        <v>2102.6657902743814</v>
      </c>
      <c r="F13" s="60">
        <f t="shared" si="1"/>
        <v>127.58068751729871</v>
      </c>
      <c r="G13" s="65">
        <f t="shared" si="2"/>
        <v>1.1609514421488698</v>
      </c>
      <c r="H13" s="65">
        <f t="shared" si="3"/>
        <v>2096.3087695313743</v>
      </c>
      <c r="I13" s="46">
        <f t="shared" si="4"/>
        <v>403.6912304686257</v>
      </c>
      <c r="J13" s="70">
        <f t="shared" si="5"/>
        <v>162966.60955727307</v>
      </c>
    </row>
    <row r="14" spans="2:10" ht="12.75">
      <c r="B14" s="37">
        <v>3</v>
      </c>
      <c r="C14" s="5">
        <v>7</v>
      </c>
      <c r="D14" s="63">
        <v>1950</v>
      </c>
      <c r="E14" s="65">
        <f t="shared" si="0"/>
        <v>2230.9053256463094</v>
      </c>
      <c r="F14" s="60">
        <f t="shared" si="1"/>
        <v>127.88506265957628</v>
      </c>
      <c r="G14" s="65">
        <f t="shared" si="2"/>
        <v>0.8739510196640415</v>
      </c>
      <c r="H14" s="65">
        <f t="shared" si="3"/>
        <v>1947.9576934079812</v>
      </c>
      <c r="I14" s="46">
        <f t="shared" si="4"/>
        <v>2.0423065920188037</v>
      </c>
      <c r="J14" s="70">
        <f t="shared" si="5"/>
        <v>4.17101621580346</v>
      </c>
    </row>
    <row r="15" spans="2:10" ht="12.75">
      <c r="B15" s="37">
        <v>4</v>
      </c>
      <c r="C15" s="5">
        <v>8</v>
      </c>
      <c r="D15" s="63">
        <v>2050</v>
      </c>
      <c r="E15" s="65">
        <f t="shared" si="0"/>
        <v>2276.524985218835</v>
      </c>
      <c r="F15" s="60">
        <f t="shared" si="1"/>
        <v>89.88001552584865</v>
      </c>
      <c r="G15" s="65">
        <f t="shared" si="2"/>
        <v>0.9190571542234798</v>
      </c>
      <c r="H15" s="65">
        <f t="shared" si="3"/>
        <v>2339.584841102803</v>
      </c>
      <c r="I15" s="46">
        <f t="shared" si="4"/>
        <v>289.5848411028028</v>
      </c>
      <c r="J15" s="70">
        <f t="shared" si="5"/>
        <v>83859.38019653554</v>
      </c>
    </row>
    <row r="16" spans="2:10" ht="12.75">
      <c r="B16" s="37">
        <v>1</v>
      </c>
      <c r="C16" s="5">
        <v>9</v>
      </c>
      <c r="D16" s="63">
        <v>3375</v>
      </c>
      <c r="E16" s="65">
        <f t="shared" si="0"/>
        <v>2376.522590223807</v>
      </c>
      <c r="F16" s="60">
        <f t="shared" si="1"/>
        <v>94.55414888695199</v>
      </c>
      <c r="G16" s="65">
        <f t="shared" si="2"/>
        <v>1.417044722687244</v>
      </c>
      <c r="H16" s="65">
        <f t="shared" si="3"/>
        <v>3324.5535674655807</v>
      </c>
      <c r="I16" s="46">
        <f t="shared" si="4"/>
        <v>50.44643253441927</v>
      </c>
      <c r="J16" s="70">
        <f t="shared" si="5"/>
        <v>2544.8425554497153</v>
      </c>
    </row>
    <row r="17" spans="2:10" ht="12.75">
      <c r="B17" s="37">
        <v>2</v>
      </c>
      <c r="C17" s="5">
        <v>10</v>
      </c>
      <c r="D17" s="63">
        <v>3100</v>
      </c>
      <c r="E17" s="65">
        <f t="shared" si="0"/>
        <v>2527.189861360862</v>
      </c>
      <c r="F17" s="60">
        <f t="shared" si="1"/>
        <v>120.4773410905949</v>
      </c>
      <c r="G17" s="65">
        <f t="shared" si="2"/>
        <v>1.2133093263325774</v>
      </c>
      <c r="H17" s="65">
        <f t="shared" si="3"/>
        <v>2868.8001039311625</v>
      </c>
      <c r="I17" s="46">
        <f t="shared" si="4"/>
        <v>231.19989606883746</v>
      </c>
      <c r="J17" s="70">
        <f t="shared" si="5"/>
        <v>53453.391942241244</v>
      </c>
    </row>
    <row r="18" spans="2:10" ht="12.75">
      <c r="B18" s="37">
        <v>3</v>
      </c>
      <c r="C18" s="5">
        <v>11</v>
      </c>
      <c r="D18" s="63">
        <v>2000</v>
      </c>
      <c r="E18" s="65">
        <f t="shared" si="0"/>
        <v>2546.453668317092</v>
      </c>
      <c r="F18" s="60">
        <f t="shared" si="1"/>
        <v>73.71861882095125</v>
      </c>
      <c r="G18" s="65">
        <f t="shared" si="2"/>
        <v>0.8033954385454978</v>
      </c>
      <c r="H18" s="65">
        <f t="shared" si="3"/>
        <v>2313.931451313491</v>
      </c>
      <c r="I18" s="46">
        <f t="shared" si="4"/>
        <v>313.9314513134909</v>
      </c>
      <c r="J18" s="70">
        <f t="shared" si="5"/>
        <v>98552.95612379472</v>
      </c>
    </row>
    <row r="19" spans="2:10" ht="12.75">
      <c r="B19" s="9">
        <v>4</v>
      </c>
      <c r="C19" s="30">
        <v>12</v>
      </c>
      <c r="D19" s="54">
        <v>2700</v>
      </c>
      <c r="E19" s="55">
        <f t="shared" si="0"/>
        <v>2709.66757225895</v>
      </c>
      <c r="F19" s="51">
        <f t="shared" si="1"/>
        <v>115.06373355487324</v>
      </c>
      <c r="G19" s="55">
        <f t="shared" si="2"/>
        <v>0.9807121299367367</v>
      </c>
      <c r="H19" s="55">
        <f t="shared" si="3"/>
        <v>2408.088085792316</v>
      </c>
      <c r="I19" s="47">
        <f t="shared" si="4"/>
        <v>291.9119142076838</v>
      </c>
      <c r="J19" s="66">
        <f t="shared" si="5"/>
        <v>85212.56565639416</v>
      </c>
    </row>
    <row r="20" spans="2:8" ht="12.75">
      <c r="B20" s="62">
        <v>1</v>
      </c>
      <c r="H20" s="67">
        <f>($E$19+B20*$F$19)*G16</f>
        <v>4002.7705899129255</v>
      </c>
    </row>
    <row r="21" spans="2:8" ht="12.75">
      <c r="B21" s="63">
        <v>2</v>
      </c>
      <c r="H21" s="69">
        <f>($E$19+B21*$F$19)*G17</f>
        <v>3566.8807387722854</v>
      </c>
    </row>
    <row r="22" spans="2:8" ht="12.75">
      <c r="B22" s="63">
        <v>3</v>
      </c>
      <c r="H22" s="69">
        <f>($E$19+B22*$F$19)*G18</f>
        <v>2454.2596035674924</v>
      </c>
    </row>
    <row r="23" spans="2:8" ht="12.75">
      <c r="B23" s="63">
        <v>4</v>
      </c>
      <c r="H23" s="69">
        <f>($E$19+B23*$F$19)*G19</f>
        <v>3108.7814530628725</v>
      </c>
    </row>
  </sheetData>
  <printOptions headings="1"/>
  <pageMargins left="0.75" right="0.75" top="1" bottom="1" header="0.49212598450000006" footer="0.49212598450000006"/>
  <pageSetup cellComments="asDisplayed" fitToHeight="0" fitToWidth="0" horizontalDpi="600" verticalDpi="600" orientation="landscape" paperSize="9" r:id="rId2"/>
  <headerFooter alignWithMargins="0">
    <oddHeader>&amp;L&amp;C&amp;[TAB]&amp;R</oddHeader>
    <oddFooter>&amp;L&amp;CPage &amp;[PAGE]&amp;R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MOI</cp:lastModifiedBy>
  <cp:lastPrinted>2007-11-01T13:13:06Z</cp:lastPrinted>
  <dcterms:created xsi:type="dcterms:W3CDTF">2008-12-05T15:51:50Z</dcterms:created>
  <dcterms:modified xsi:type="dcterms:W3CDTF">2009-10-13T05:47:20Z</dcterms:modified>
  <cp:category/>
  <cp:version/>
  <cp:contentType/>
  <cp:contentStatus/>
</cp:coreProperties>
</file>